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4"/>
  </bookViews>
  <sheets>
    <sheet name="01.01.2016" sheetId="1" state="hidden" r:id="rId1"/>
    <sheet name="ОБЩИЙ" sheetId="3" state="hidden" r:id="rId2"/>
    <sheet name="ШКОЛЫ" sheetId="4" r:id="rId3"/>
    <sheet name="САДЫ " sheetId="14" r:id="rId4"/>
    <sheet name="ДОП ДДТ" sheetId="11" r:id="rId5"/>
  </sheets>
  <calcPr calcId="124519"/>
</workbook>
</file>

<file path=xl/calcChain.xml><?xml version="1.0" encoding="utf-8"?>
<calcChain xmlns="http://schemas.openxmlformats.org/spreadsheetml/2006/main">
  <c r="L12" i="11"/>
  <c r="L13"/>
  <c r="L14"/>
  <c r="L15"/>
  <c r="L16"/>
  <c r="L11"/>
  <c r="L17" s="1"/>
  <c r="K17"/>
  <c r="K16"/>
  <c r="K15"/>
  <c r="K14"/>
  <c r="K13"/>
  <c r="K12"/>
  <c r="K11"/>
  <c r="W35"/>
  <c r="W34"/>
  <c r="V34"/>
  <c r="J16"/>
  <c r="J15"/>
  <c r="J14"/>
  <c r="J13"/>
  <c r="J12"/>
  <c r="J11"/>
  <c r="U18"/>
  <c r="U34"/>
  <c r="T15"/>
  <c r="U14"/>
  <c r="T14" s="1"/>
  <c r="U15"/>
  <c r="U16"/>
  <c r="T16" s="1"/>
  <c r="U12"/>
  <c r="T12" s="1"/>
  <c r="U13"/>
  <c r="T13" s="1"/>
  <c r="U11"/>
  <c r="U17" s="1"/>
  <c r="U19"/>
  <c r="S20"/>
  <c r="Q18"/>
  <c r="I11"/>
  <c r="T11" l="1"/>
  <c r="I16" l="1"/>
  <c r="I15"/>
  <c r="I14"/>
  <c r="I13"/>
  <c r="I12"/>
  <c r="AE18"/>
  <c r="AF18" s="1"/>
  <c r="AD18"/>
  <c r="AB18"/>
  <c r="AA18"/>
  <c r="AA17"/>
  <c r="AD16"/>
  <c r="AB17"/>
  <c r="AA16"/>
  <c r="AE17"/>
  <c r="AD17"/>
  <c r="AE16" l="1"/>
  <c r="AB16"/>
  <c r="AB19"/>
  <c r="AE19"/>
  <c r="N115" i="14" l="1"/>
  <c r="N106"/>
  <c r="J107"/>
  <c r="N107" s="1"/>
  <c r="J106"/>
  <c r="J105"/>
  <c r="N105" s="1"/>
  <c r="N100"/>
  <c r="N94"/>
  <c r="N92"/>
  <c r="N90"/>
  <c r="J94"/>
  <c r="J93"/>
  <c r="N93" s="1"/>
  <c r="J92"/>
  <c r="J91"/>
  <c r="N91" s="1"/>
  <c r="J90"/>
  <c r="J61"/>
  <c r="J60"/>
  <c r="J59"/>
  <c r="J30"/>
  <c r="J29"/>
  <c r="J26"/>
  <c r="N85"/>
  <c r="N84"/>
  <c r="N83"/>
  <c r="N82"/>
  <c r="N81"/>
  <c r="N80"/>
  <c r="N74"/>
  <c r="N73"/>
  <c r="N70"/>
  <c r="N69"/>
  <c r="N60"/>
  <c r="N59"/>
  <c r="N51"/>
  <c r="N50"/>
  <c r="N49"/>
  <c r="N39"/>
  <c r="N38"/>
  <c r="N30"/>
  <c r="N29"/>
  <c r="J28"/>
  <c r="J27"/>
  <c r="N26"/>
  <c r="N18"/>
  <c r="N17"/>
  <c r="N16"/>
  <c r="R46" i="4" l="1"/>
  <c r="R12"/>
  <c r="O46"/>
  <c r="P23" i="11"/>
  <c r="P22"/>
  <c r="P21"/>
  <c r="Q21" s="1"/>
  <c r="P20"/>
  <c r="Q20" s="1"/>
  <c r="P19"/>
  <c r="Q19" s="1"/>
  <c r="Q22"/>
  <c r="Q23"/>
  <c r="I18"/>
  <c r="S19"/>
  <c r="Q17"/>
  <c r="R17"/>
  <c r="I23"/>
  <c r="I19"/>
  <c r="I20"/>
  <c r="I21"/>
  <c r="I22"/>
  <c r="O24"/>
  <c r="Q24" l="1"/>
  <c r="I17"/>
  <c r="P219" i="4"/>
  <c r="J20" i="11" l="1"/>
  <c r="H23" l="1"/>
  <c r="H22"/>
  <c r="H21"/>
  <c r="H20"/>
  <c r="H19"/>
  <c r="K93" i="14" l="1"/>
  <c r="K94"/>
  <c r="O94" s="1"/>
  <c r="K92"/>
  <c r="K115"/>
  <c r="O115" s="1"/>
  <c r="K116"/>
  <c r="K117"/>
  <c r="K114"/>
  <c r="O114" s="1"/>
  <c r="K107"/>
  <c r="O107" s="1"/>
  <c r="K106"/>
  <c r="O106" s="1"/>
  <c r="K105"/>
  <c r="O105" s="1"/>
  <c r="K100"/>
  <c r="O100" s="1"/>
  <c r="K99"/>
  <c r="O99" s="1"/>
  <c r="K91"/>
  <c r="O91" s="1"/>
  <c r="K90"/>
  <c r="O90" s="1"/>
  <c r="K87"/>
  <c r="K86"/>
  <c r="K82"/>
  <c r="O82" s="1"/>
  <c r="K81"/>
  <c r="O81" s="1"/>
  <c r="K80"/>
  <c r="O80" s="1"/>
  <c r="K79"/>
  <c r="K69"/>
  <c r="O69" s="1"/>
  <c r="K70"/>
  <c r="O70" s="1"/>
  <c r="K68"/>
  <c r="O68" s="1"/>
  <c r="K60"/>
  <c r="O60" s="1"/>
  <c r="K61"/>
  <c r="K59"/>
  <c r="O59" s="1"/>
  <c r="K51"/>
  <c r="O51" s="1"/>
  <c r="K49"/>
  <c r="O49" s="1"/>
  <c r="K50"/>
  <c r="O50" s="1"/>
  <c r="K48"/>
  <c r="O48" s="1"/>
  <c r="K39"/>
  <c r="O39" s="1"/>
  <c r="K38"/>
  <c r="O38" s="1"/>
  <c r="K37"/>
  <c r="O37" s="1"/>
  <c r="K29"/>
  <c r="O29" s="1"/>
  <c r="K30"/>
  <c r="O30" s="1"/>
  <c r="K27"/>
  <c r="K28"/>
  <c r="K26"/>
  <c r="O26" s="1"/>
  <c r="K16" l="1"/>
  <c r="O16" s="1"/>
  <c r="K17"/>
  <c r="O17" s="1"/>
  <c r="K18"/>
  <c r="O18" s="1"/>
  <c r="K19"/>
  <c r="K15"/>
  <c r="R204" i="4" l="1"/>
  <c r="R196"/>
  <c r="R197"/>
  <c r="R188"/>
  <c r="R187"/>
  <c r="R193"/>
  <c r="R149"/>
  <c r="R81"/>
  <c r="R80"/>
  <c r="R47"/>
  <c r="R125"/>
  <c r="R114"/>
  <c r="P46"/>
  <c r="O80" l="1"/>
  <c r="I101" i="14"/>
  <c r="H101"/>
  <c r="U190" i="4"/>
  <c r="T190"/>
  <c r="U153"/>
  <c r="T153"/>
  <c r="T96"/>
  <c r="U60"/>
  <c r="U59"/>
  <c r="T60"/>
  <c r="T59"/>
  <c r="T15"/>
  <c r="N139"/>
  <c r="F35"/>
  <c r="E35"/>
  <c r="F12"/>
  <c r="E12"/>
  <c r="R177" l="1"/>
  <c r="O176"/>
  <c r="N176"/>
  <c r="P204"/>
  <c r="P201"/>
  <c r="P197"/>
  <c r="P196"/>
  <c r="P193"/>
  <c r="P188"/>
  <c r="P187"/>
  <c r="O209"/>
  <c r="O207"/>
  <c r="O206"/>
  <c r="O204"/>
  <c r="O202"/>
  <c r="O201"/>
  <c r="O200"/>
  <c r="O199"/>
  <c r="O197"/>
  <c r="O196"/>
  <c r="O194"/>
  <c r="O193"/>
  <c r="O191"/>
  <c r="O192"/>
  <c r="O190"/>
  <c r="O188"/>
  <c r="O187"/>
  <c r="P171"/>
  <c r="P170"/>
  <c r="P167"/>
  <c r="P162"/>
  <c r="P161"/>
  <c r="P158"/>
  <c r="P149"/>
  <c r="O173"/>
  <c r="O171"/>
  <c r="O170"/>
  <c r="O168"/>
  <c r="O167"/>
  <c r="O165"/>
  <c r="O166"/>
  <c r="O164"/>
  <c r="O162"/>
  <c r="O161"/>
  <c r="O159"/>
  <c r="O158"/>
  <c r="O152"/>
  <c r="O153"/>
  <c r="O154"/>
  <c r="O155"/>
  <c r="O156"/>
  <c r="O157"/>
  <c r="O151"/>
  <c r="O149"/>
  <c r="P137"/>
  <c r="P134"/>
  <c r="P132"/>
  <c r="P125"/>
  <c r="P123"/>
  <c r="P114"/>
  <c r="O139"/>
  <c r="O137"/>
  <c r="O136"/>
  <c r="O134"/>
  <c r="O132"/>
  <c r="O128"/>
  <c r="O129"/>
  <c r="O130"/>
  <c r="O131"/>
  <c r="O127"/>
  <c r="O125"/>
  <c r="O123"/>
  <c r="O117"/>
  <c r="O118"/>
  <c r="O119"/>
  <c r="O120"/>
  <c r="O121"/>
  <c r="O122"/>
  <c r="O116"/>
  <c r="O114"/>
  <c r="P102"/>
  <c r="P98"/>
  <c r="P96"/>
  <c r="P91"/>
  <c r="P89"/>
  <c r="P81"/>
  <c r="O104"/>
  <c r="O102"/>
  <c r="O101"/>
  <c r="O100"/>
  <c r="O98"/>
  <c r="O96"/>
  <c r="O94"/>
  <c r="O95"/>
  <c r="O93"/>
  <c r="O91"/>
  <c r="O89"/>
  <c r="O84"/>
  <c r="O85"/>
  <c r="O86"/>
  <c r="O87"/>
  <c r="O88"/>
  <c r="O83"/>
  <c r="O81"/>
  <c r="P66"/>
  <c r="P64"/>
  <c r="P57"/>
  <c r="P55"/>
  <c r="P47"/>
  <c r="O68"/>
  <c r="O71"/>
  <c r="O69"/>
  <c r="O66"/>
  <c r="O64"/>
  <c r="O60"/>
  <c r="O61"/>
  <c r="O62"/>
  <c r="O63"/>
  <c r="O59"/>
  <c r="O57"/>
  <c r="O55"/>
  <c r="O50"/>
  <c r="O51"/>
  <c r="O52"/>
  <c r="O53"/>
  <c r="O54"/>
  <c r="O49"/>
  <c r="O47"/>
  <c r="P31"/>
  <c r="P29"/>
  <c r="P24"/>
  <c r="P22"/>
  <c r="O33"/>
  <c r="O37"/>
  <c r="O31"/>
  <c r="O29"/>
  <c r="O27"/>
  <c r="O28"/>
  <c r="O26"/>
  <c r="O24"/>
  <c r="O22"/>
  <c r="O15"/>
  <c r="O16"/>
  <c r="O17"/>
  <c r="O18"/>
  <c r="O19"/>
  <c r="O20"/>
  <c r="O21"/>
  <c r="O14"/>
  <c r="R102"/>
  <c r="N102" s="1"/>
  <c r="S120" i="14" l="1"/>
  <c r="S111"/>
  <c r="S102"/>
  <c r="S96"/>
  <c r="S87"/>
  <c r="S76"/>
  <c r="S65"/>
  <c r="S56"/>
  <c r="S45"/>
  <c r="S34"/>
  <c r="S21"/>
  <c r="U120" l="1"/>
  <c r="S13"/>
  <c r="C347" i="4"/>
  <c r="O343"/>
  <c r="N343"/>
  <c r="N344" s="1"/>
  <c r="N345" s="1"/>
  <c r="M343"/>
  <c r="O340"/>
  <c r="O344" s="1"/>
  <c r="O345" s="1"/>
  <c r="N340"/>
  <c r="N341" s="1"/>
  <c r="M340"/>
  <c r="P340" s="1"/>
  <c r="L339"/>
  <c r="C332"/>
  <c r="P328"/>
  <c r="O328"/>
  <c r="O329" s="1"/>
  <c r="O330" s="1"/>
  <c r="N328"/>
  <c r="P325"/>
  <c r="P329" s="1"/>
  <c r="P330" s="1"/>
  <c r="O325"/>
  <c r="O326" s="1"/>
  <c r="N325"/>
  <c r="Q325" s="1"/>
  <c r="M324"/>
  <c r="C319"/>
  <c r="N315"/>
  <c r="M315"/>
  <c r="M316" s="1"/>
  <c r="M317" s="1"/>
  <c r="L315"/>
  <c r="N312"/>
  <c r="N316" s="1"/>
  <c r="N317" s="1"/>
  <c r="M312"/>
  <c r="M313" s="1"/>
  <c r="L312"/>
  <c r="O312" s="1"/>
  <c r="K311"/>
  <c r="C306"/>
  <c r="N302"/>
  <c r="M302"/>
  <c r="M303" s="1"/>
  <c r="M304" s="1"/>
  <c r="L302"/>
  <c r="N299"/>
  <c r="N303" s="1"/>
  <c r="N304" s="1"/>
  <c r="M299"/>
  <c r="M300" s="1"/>
  <c r="L299"/>
  <c r="O299" s="1"/>
  <c r="K298"/>
  <c r="C293"/>
  <c r="N289"/>
  <c r="N290" s="1"/>
  <c r="N291" s="1"/>
  <c r="M289"/>
  <c r="M290" s="1"/>
  <c r="M291" s="1"/>
  <c r="L289"/>
  <c r="L290" s="1"/>
  <c r="L291" s="1"/>
  <c r="N286"/>
  <c r="N287" s="1"/>
  <c r="M286"/>
  <c r="M287" s="1"/>
  <c r="L286"/>
  <c r="O286" s="1"/>
  <c r="K285"/>
  <c r="C277"/>
  <c r="N273"/>
  <c r="M273"/>
  <c r="M274" s="1"/>
  <c r="M275" s="1"/>
  <c r="L273"/>
  <c r="N270"/>
  <c r="N274" s="1"/>
  <c r="N275" s="1"/>
  <c r="M270"/>
  <c r="M271" s="1"/>
  <c r="L270"/>
  <c r="O270" s="1"/>
  <c r="K269"/>
  <c r="S218"/>
  <c r="Q218"/>
  <c r="I218"/>
  <c r="H218"/>
  <c r="G218"/>
  <c r="U217"/>
  <c r="N217"/>
  <c r="U216"/>
  <c r="T216"/>
  <c r="N216"/>
  <c r="U215"/>
  <c r="N215"/>
  <c r="N214"/>
  <c r="N213"/>
  <c r="T212"/>
  <c r="U212" s="1"/>
  <c r="N212"/>
  <c r="U211"/>
  <c r="T211"/>
  <c r="N211"/>
  <c r="R210"/>
  <c r="P210"/>
  <c r="M210"/>
  <c r="I210"/>
  <c r="H210"/>
  <c r="G210"/>
  <c r="F210"/>
  <c r="E210"/>
  <c r="O210"/>
  <c r="J209"/>
  <c r="I208"/>
  <c r="H208"/>
  <c r="G208"/>
  <c r="F208"/>
  <c r="E208"/>
  <c r="J207"/>
  <c r="G207"/>
  <c r="N207" s="1"/>
  <c r="J206"/>
  <c r="G206"/>
  <c r="N206" s="1"/>
  <c r="R208"/>
  <c r="P208"/>
  <c r="O208"/>
  <c r="N204"/>
  <c r="U202"/>
  <c r="T202"/>
  <c r="J202"/>
  <c r="G202"/>
  <c r="N202" s="1"/>
  <c r="K201"/>
  <c r="N201" s="1"/>
  <c r="T201" s="1"/>
  <c r="U201" s="1"/>
  <c r="J201"/>
  <c r="U200"/>
  <c r="T200"/>
  <c r="J200"/>
  <c r="G200"/>
  <c r="N200" s="1"/>
  <c r="U199"/>
  <c r="T199"/>
  <c r="J199"/>
  <c r="G199"/>
  <c r="N199" s="1"/>
  <c r="X197"/>
  <c r="W197"/>
  <c r="N197"/>
  <c r="W196"/>
  <c r="R203"/>
  <c r="P203"/>
  <c r="O203"/>
  <c r="J194"/>
  <c r="G194"/>
  <c r="N194" s="1"/>
  <c r="T194" s="1"/>
  <c r="U194" s="1"/>
  <c r="K193"/>
  <c r="J193"/>
  <c r="G193"/>
  <c r="J192"/>
  <c r="G192"/>
  <c r="N192" s="1"/>
  <c r="T192" s="1"/>
  <c r="U192" s="1"/>
  <c r="J191"/>
  <c r="G191"/>
  <c r="N191" s="1"/>
  <c r="T191" s="1"/>
  <c r="U191" s="1"/>
  <c r="J190"/>
  <c r="G190"/>
  <c r="N189"/>
  <c r="T189" s="1"/>
  <c r="U189" s="1"/>
  <c r="W188"/>
  <c r="N188"/>
  <c r="Y187"/>
  <c r="X187"/>
  <c r="W187"/>
  <c r="R195"/>
  <c r="S186"/>
  <c r="Q186"/>
  <c r="U185"/>
  <c r="N185"/>
  <c r="T184"/>
  <c r="U184" s="1"/>
  <c r="N184"/>
  <c r="U183"/>
  <c r="N183"/>
  <c r="N182"/>
  <c r="T181"/>
  <c r="U181" s="1"/>
  <c r="N181"/>
  <c r="U180"/>
  <c r="T180"/>
  <c r="N180"/>
  <c r="T179"/>
  <c r="U179" s="1"/>
  <c r="N179"/>
  <c r="P178"/>
  <c r="M178"/>
  <c r="I178"/>
  <c r="H178"/>
  <c r="F178"/>
  <c r="E178"/>
  <c r="R178"/>
  <c r="N177"/>
  <c r="T177" s="1"/>
  <c r="U177" s="1"/>
  <c r="J176"/>
  <c r="G176"/>
  <c r="I175"/>
  <c r="H175"/>
  <c r="F175"/>
  <c r="E175"/>
  <c r="L174"/>
  <c r="K174"/>
  <c r="J174"/>
  <c r="U174" s="1"/>
  <c r="G174"/>
  <c r="U173"/>
  <c r="T173"/>
  <c r="J173"/>
  <c r="G173"/>
  <c r="N173" s="1"/>
  <c r="L171"/>
  <c r="K171"/>
  <c r="J171"/>
  <c r="G171"/>
  <c r="L170"/>
  <c r="K170"/>
  <c r="J170"/>
  <c r="G170"/>
  <c r="R170" s="1"/>
  <c r="I169"/>
  <c r="H169"/>
  <c r="F169"/>
  <c r="E169"/>
  <c r="J168"/>
  <c r="U168" s="1"/>
  <c r="G168"/>
  <c r="N168" s="1"/>
  <c r="R167"/>
  <c r="L167"/>
  <c r="K167"/>
  <c r="J167"/>
  <c r="G167"/>
  <c r="U166"/>
  <c r="T166"/>
  <c r="J166"/>
  <c r="G166"/>
  <c r="N166" s="1"/>
  <c r="U165"/>
  <c r="T165"/>
  <c r="J165"/>
  <c r="G165"/>
  <c r="N165" s="1"/>
  <c r="U164"/>
  <c r="T164"/>
  <c r="J164"/>
  <c r="G164"/>
  <c r="N164" s="1"/>
  <c r="L162"/>
  <c r="K162"/>
  <c r="J162"/>
  <c r="G162"/>
  <c r="L161"/>
  <c r="K161"/>
  <c r="J161"/>
  <c r="G161"/>
  <c r="R161" s="1"/>
  <c r="I160"/>
  <c r="I186" s="1"/>
  <c r="H160"/>
  <c r="H186" s="1"/>
  <c r="F160"/>
  <c r="F186" s="1"/>
  <c r="E160"/>
  <c r="E186" s="1"/>
  <c r="J159"/>
  <c r="U159" s="1"/>
  <c r="G159"/>
  <c r="N159" s="1"/>
  <c r="L158"/>
  <c r="K158"/>
  <c r="J158"/>
  <c r="G158"/>
  <c r="R158" s="1"/>
  <c r="U157"/>
  <c r="T157"/>
  <c r="J157"/>
  <c r="G157"/>
  <c r="N157" s="1"/>
  <c r="U156"/>
  <c r="T156"/>
  <c r="J156"/>
  <c r="G156"/>
  <c r="N156" s="1"/>
  <c r="U155"/>
  <c r="T155"/>
  <c r="J155"/>
  <c r="G155"/>
  <c r="N155" s="1"/>
  <c r="U154"/>
  <c r="T154"/>
  <c r="J154"/>
  <c r="G154"/>
  <c r="N154" s="1"/>
  <c r="J153"/>
  <c r="G153"/>
  <c r="N153" s="1"/>
  <c r="U152"/>
  <c r="T152"/>
  <c r="J152"/>
  <c r="G152"/>
  <c r="N152" s="1"/>
  <c r="U151"/>
  <c r="T151"/>
  <c r="J151"/>
  <c r="G151"/>
  <c r="N151" s="1"/>
  <c r="L149"/>
  <c r="K149"/>
  <c r="J149"/>
  <c r="G149"/>
  <c r="S148"/>
  <c r="Q148"/>
  <c r="U147"/>
  <c r="N147"/>
  <c r="T146"/>
  <c r="U146" s="1"/>
  <c r="N146"/>
  <c r="U145"/>
  <c r="N145"/>
  <c r="N144"/>
  <c r="T143"/>
  <c r="U143" s="1"/>
  <c r="N143"/>
  <c r="U142"/>
  <c r="N142"/>
  <c r="T141"/>
  <c r="U141" s="1"/>
  <c r="N141"/>
  <c r="R140"/>
  <c r="P140"/>
  <c r="M140"/>
  <c r="I140"/>
  <c r="H140"/>
  <c r="F140"/>
  <c r="E140"/>
  <c r="J139"/>
  <c r="G139"/>
  <c r="G140" s="1"/>
  <c r="I138"/>
  <c r="H138"/>
  <c r="F138"/>
  <c r="E138"/>
  <c r="L137"/>
  <c r="K137"/>
  <c r="J137"/>
  <c r="U137" s="1"/>
  <c r="G137"/>
  <c r="U136"/>
  <c r="T136"/>
  <c r="J136"/>
  <c r="G136"/>
  <c r="N136" s="1"/>
  <c r="L134"/>
  <c r="K134"/>
  <c r="J134"/>
  <c r="G134"/>
  <c r="P138" s="1"/>
  <c r="I133"/>
  <c r="H133"/>
  <c r="F133"/>
  <c r="E133"/>
  <c r="L132"/>
  <c r="K132"/>
  <c r="J132"/>
  <c r="G132"/>
  <c r="U131"/>
  <c r="T131"/>
  <c r="J131"/>
  <c r="G131"/>
  <c r="N131" s="1"/>
  <c r="U130"/>
  <c r="T130"/>
  <c r="J130"/>
  <c r="G130"/>
  <c r="N130" s="1"/>
  <c r="U129"/>
  <c r="T129"/>
  <c r="J129"/>
  <c r="G129"/>
  <c r="N129" s="1"/>
  <c r="U128"/>
  <c r="T128"/>
  <c r="J128"/>
  <c r="G128"/>
  <c r="N128" s="1"/>
  <c r="U127"/>
  <c r="T127"/>
  <c r="J127"/>
  <c r="G127"/>
  <c r="N127" s="1"/>
  <c r="L125"/>
  <c r="K125"/>
  <c r="J125"/>
  <c r="G125"/>
  <c r="G133" s="1"/>
  <c r="I124"/>
  <c r="I148" s="1"/>
  <c r="H124"/>
  <c r="H148" s="1"/>
  <c r="F124"/>
  <c r="F148" s="1"/>
  <c r="E124"/>
  <c r="E148" s="1"/>
  <c r="L123"/>
  <c r="K123"/>
  <c r="J123"/>
  <c r="G123"/>
  <c r="R123" s="1"/>
  <c r="U122"/>
  <c r="T122"/>
  <c r="N122"/>
  <c r="J122"/>
  <c r="G122"/>
  <c r="U121"/>
  <c r="T121"/>
  <c r="N121"/>
  <c r="J121"/>
  <c r="G121"/>
  <c r="U120"/>
  <c r="T120"/>
  <c r="N120"/>
  <c r="J120"/>
  <c r="G120"/>
  <c r="U119"/>
  <c r="T119"/>
  <c r="N119"/>
  <c r="J119"/>
  <c r="G119"/>
  <c r="U118"/>
  <c r="T118"/>
  <c r="N118"/>
  <c r="J118"/>
  <c r="G118"/>
  <c r="U117"/>
  <c r="T117"/>
  <c r="N117"/>
  <c r="J117"/>
  <c r="G117"/>
  <c r="U116"/>
  <c r="T116"/>
  <c r="N116"/>
  <c r="J116"/>
  <c r="L114"/>
  <c r="P124" s="1"/>
  <c r="K114"/>
  <c r="J114"/>
  <c r="G114"/>
  <c r="G124" s="1"/>
  <c r="S113"/>
  <c r="Q113"/>
  <c r="U112"/>
  <c r="N112"/>
  <c r="T111"/>
  <c r="U111" s="1"/>
  <c r="N111"/>
  <c r="U110"/>
  <c r="N110"/>
  <c r="N109"/>
  <c r="V108"/>
  <c r="U108"/>
  <c r="N108"/>
  <c r="U107"/>
  <c r="T107"/>
  <c r="N107"/>
  <c r="T106"/>
  <c r="U106" s="1"/>
  <c r="N106"/>
  <c r="R105"/>
  <c r="P105"/>
  <c r="M105"/>
  <c r="I105"/>
  <c r="H105"/>
  <c r="F105"/>
  <c r="E105"/>
  <c r="N104"/>
  <c r="J104"/>
  <c r="G104"/>
  <c r="G105" s="1"/>
  <c r="I103"/>
  <c r="H103"/>
  <c r="F103"/>
  <c r="E103"/>
  <c r="L102"/>
  <c r="K102"/>
  <c r="J102"/>
  <c r="T102" s="1"/>
  <c r="G102"/>
  <c r="U101"/>
  <c r="T101"/>
  <c r="N101"/>
  <c r="J101"/>
  <c r="G101"/>
  <c r="U100"/>
  <c r="T100"/>
  <c r="N100"/>
  <c r="J100"/>
  <c r="G100"/>
  <c r="L98"/>
  <c r="K98"/>
  <c r="J98" s="1"/>
  <c r="G98"/>
  <c r="G103" s="1"/>
  <c r="I97"/>
  <c r="H97"/>
  <c r="F97"/>
  <c r="E97"/>
  <c r="L96"/>
  <c r="K96"/>
  <c r="J96" s="1"/>
  <c r="G96"/>
  <c r="U95"/>
  <c r="T95"/>
  <c r="J95"/>
  <c r="G95"/>
  <c r="N95" s="1"/>
  <c r="U94"/>
  <c r="T94"/>
  <c r="J94"/>
  <c r="G94"/>
  <c r="N94" s="1"/>
  <c r="U93"/>
  <c r="T93"/>
  <c r="J93"/>
  <c r="G93"/>
  <c r="N93" s="1"/>
  <c r="L91"/>
  <c r="P97" s="1"/>
  <c r="K91"/>
  <c r="J91"/>
  <c r="G91"/>
  <c r="G97" s="1"/>
  <c r="I90"/>
  <c r="I113" s="1"/>
  <c r="H90"/>
  <c r="H113" s="1"/>
  <c r="F90"/>
  <c r="F113" s="1"/>
  <c r="E90"/>
  <c r="E113" s="1"/>
  <c r="L89"/>
  <c r="K89"/>
  <c r="J89"/>
  <c r="G89"/>
  <c r="R89" s="1"/>
  <c r="U88"/>
  <c r="T88"/>
  <c r="N88"/>
  <c r="J88"/>
  <c r="G88"/>
  <c r="U87"/>
  <c r="T87"/>
  <c r="N87"/>
  <c r="J87"/>
  <c r="G87"/>
  <c r="U86"/>
  <c r="T86"/>
  <c r="N86"/>
  <c r="J86"/>
  <c r="G86"/>
  <c r="U85"/>
  <c r="T85"/>
  <c r="N85"/>
  <c r="J85"/>
  <c r="G85"/>
  <c r="U84"/>
  <c r="T84"/>
  <c r="N84"/>
  <c r="J84"/>
  <c r="G84"/>
  <c r="U83"/>
  <c r="T83"/>
  <c r="N83"/>
  <c r="J83"/>
  <c r="G83"/>
  <c r="L81"/>
  <c r="K81"/>
  <c r="J81" s="1"/>
  <c r="G81"/>
  <c r="S80"/>
  <c r="Q80"/>
  <c r="U79"/>
  <c r="N79"/>
  <c r="T78"/>
  <c r="U78" s="1"/>
  <c r="N78"/>
  <c r="U77"/>
  <c r="N77"/>
  <c r="N76"/>
  <c r="V75"/>
  <c r="U75"/>
  <c r="N75"/>
  <c r="T74"/>
  <c r="U74" s="1"/>
  <c r="N74"/>
  <c r="T73"/>
  <c r="U73" s="1"/>
  <c r="N73"/>
  <c r="R72"/>
  <c r="P72"/>
  <c r="M72"/>
  <c r="I72"/>
  <c r="H72"/>
  <c r="F72"/>
  <c r="E72"/>
  <c r="J71"/>
  <c r="G71"/>
  <c r="I70"/>
  <c r="H70"/>
  <c r="F70"/>
  <c r="E70"/>
  <c r="R69"/>
  <c r="L69"/>
  <c r="P69" s="1"/>
  <c r="K69"/>
  <c r="U69" s="1"/>
  <c r="J69"/>
  <c r="U68"/>
  <c r="T68"/>
  <c r="J68"/>
  <c r="G68"/>
  <c r="N68" s="1"/>
  <c r="L66"/>
  <c r="K66"/>
  <c r="J66"/>
  <c r="G66"/>
  <c r="G70" s="1"/>
  <c r="I65"/>
  <c r="H65"/>
  <c r="F65"/>
  <c r="E65"/>
  <c r="L64"/>
  <c r="K64"/>
  <c r="J64" s="1"/>
  <c r="G64"/>
  <c r="R64" s="1"/>
  <c r="U63"/>
  <c r="T63"/>
  <c r="J63"/>
  <c r="G63"/>
  <c r="N63" s="1"/>
  <c r="U62"/>
  <c r="T62"/>
  <c r="J62"/>
  <c r="G62"/>
  <c r="N62" s="1"/>
  <c r="U61"/>
  <c r="T61"/>
  <c r="J61"/>
  <c r="G61"/>
  <c r="N61" s="1"/>
  <c r="J60"/>
  <c r="G60"/>
  <c r="N60" s="1"/>
  <c r="J59"/>
  <c r="G59"/>
  <c r="N59" s="1"/>
  <c r="L57"/>
  <c r="K57"/>
  <c r="J57"/>
  <c r="T57" s="1"/>
  <c r="G57"/>
  <c r="I56"/>
  <c r="I80" s="1"/>
  <c r="H56"/>
  <c r="H80" s="1"/>
  <c r="F56"/>
  <c r="F80" s="1"/>
  <c r="E56"/>
  <c r="E80" s="1"/>
  <c r="L55"/>
  <c r="K55"/>
  <c r="J55"/>
  <c r="G55"/>
  <c r="U54"/>
  <c r="T54"/>
  <c r="N54"/>
  <c r="J54"/>
  <c r="U53"/>
  <c r="T53"/>
  <c r="J53"/>
  <c r="G53"/>
  <c r="N53" s="1"/>
  <c r="U52"/>
  <c r="T52"/>
  <c r="J52"/>
  <c r="G52"/>
  <c r="N52" s="1"/>
  <c r="U51"/>
  <c r="T51"/>
  <c r="J51"/>
  <c r="G51"/>
  <c r="N51" s="1"/>
  <c r="U50"/>
  <c r="T50"/>
  <c r="J50"/>
  <c r="G50"/>
  <c r="N50" s="1"/>
  <c r="U49"/>
  <c r="T49"/>
  <c r="J49"/>
  <c r="G49"/>
  <c r="N49" s="1"/>
  <c r="L47"/>
  <c r="K47"/>
  <c r="J47" s="1"/>
  <c r="G47"/>
  <c r="G56" s="1"/>
  <c r="S46"/>
  <c r="Q46"/>
  <c r="U45"/>
  <c r="N45"/>
  <c r="T44"/>
  <c r="U44" s="1"/>
  <c r="N44"/>
  <c r="U43"/>
  <c r="N43"/>
  <c r="N42"/>
  <c r="T41"/>
  <c r="U41" s="1"/>
  <c r="T40"/>
  <c r="U40" s="1"/>
  <c r="N40"/>
  <c r="T39"/>
  <c r="U39" s="1"/>
  <c r="N39"/>
  <c r="R38"/>
  <c r="P38"/>
  <c r="M38"/>
  <c r="I38"/>
  <c r="H38"/>
  <c r="F38"/>
  <c r="E38"/>
  <c r="J37"/>
  <c r="G37"/>
  <c r="G38" s="1"/>
  <c r="I36"/>
  <c r="H36"/>
  <c r="F36"/>
  <c r="E36"/>
  <c r="L35"/>
  <c r="K35"/>
  <c r="J35" s="1"/>
  <c r="G35"/>
  <c r="R35" s="1"/>
  <c r="U34"/>
  <c r="T34"/>
  <c r="U33"/>
  <c r="T33"/>
  <c r="J33"/>
  <c r="G33"/>
  <c r="N33" s="1"/>
  <c r="L31"/>
  <c r="K31"/>
  <c r="J31"/>
  <c r="G31"/>
  <c r="R31" s="1"/>
  <c r="I30"/>
  <c r="H30"/>
  <c r="F30"/>
  <c r="E30"/>
  <c r="L29"/>
  <c r="K29"/>
  <c r="J29" s="1"/>
  <c r="G29"/>
  <c r="R29" s="1"/>
  <c r="U28"/>
  <c r="T28"/>
  <c r="J28"/>
  <c r="G28"/>
  <c r="N28" s="1"/>
  <c r="U27"/>
  <c r="T27"/>
  <c r="J27"/>
  <c r="G27"/>
  <c r="N27" s="1"/>
  <c r="U26"/>
  <c r="T26"/>
  <c r="J26"/>
  <c r="G26"/>
  <c r="N26" s="1"/>
  <c r="L24"/>
  <c r="K24"/>
  <c r="J24"/>
  <c r="T24" s="1"/>
  <c r="G24"/>
  <c r="I23"/>
  <c r="I46" s="1"/>
  <c r="H23"/>
  <c r="H46" s="1"/>
  <c r="F23"/>
  <c r="F46" s="1"/>
  <c r="E23"/>
  <c r="E46" s="1"/>
  <c r="L22"/>
  <c r="K22"/>
  <c r="J22"/>
  <c r="G22"/>
  <c r="R22" s="1"/>
  <c r="U21"/>
  <c r="T21"/>
  <c r="J21"/>
  <c r="G21"/>
  <c r="N21" s="1"/>
  <c r="U20"/>
  <c r="T20"/>
  <c r="J20"/>
  <c r="G20"/>
  <c r="N20" s="1"/>
  <c r="U19"/>
  <c r="T19"/>
  <c r="J19"/>
  <c r="G19"/>
  <c r="N19" s="1"/>
  <c r="U18"/>
  <c r="T18"/>
  <c r="J18"/>
  <c r="G18"/>
  <c r="N18" s="1"/>
  <c r="U17"/>
  <c r="T17"/>
  <c r="J17"/>
  <c r="G17"/>
  <c r="N17" s="1"/>
  <c r="U16"/>
  <c r="T16"/>
  <c r="J16"/>
  <c r="G16"/>
  <c r="N16" s="1"/>
  <c r="U15"/>
  <c r="J15"/>
  <c r="G15"/>
  <c r="N15" s="1"/>
  <c r="U14"/>
  <c r="T14"/>
  <c r="J14"/>
  <c r="G14"/>
  <c r="N14" s="1"/>
  <c r="L12"/>
  <c r="K12"/>
  <c r="J12"/>
  <c r="G12"/>
  <c r="V120" i="14"/>
  <c r="T120"/>
  <c r="M120"/>
  <c r="I119"/>
  <c r="H119"/>
  <c r="F119"/>
  <c r="E119"/>
  <c r="T118"/>
  <c r="U118" s="1"/>
  <c r="V118" s="1"/>
  <c r="K118"/>
  <c r="M118" s="1"/>
  <c r="T117"/>
  <c r="U117" s="1"/>
  <c r="V117" s="1"/>
  <c r="M117"/>
  <c r="T116"/>
  <c r="U116" s="1"/>
  <c r="M116"/>
  <c r="M115"/>
  <c r="J114"/>
  <c r="M114" s="1"/>
  <c r="AA113"/>
  <c r="M113"/>
  <c r="S112"/>
  <c r="M112"/>
  <c r="V111"/>
  <c r="U111"/>
  <c r="AA104" s="1"/>
  <c r="T111"/>
  <c r="M111"/>
  <c r="I110"/>
  <c r="H110"/>
  <c r="F110"/>
  <c r="E110"/>
  <c r="T109"/>
  <c r="U109" s="1"/>
  <c r="V109" s="1"/>
  <c r="K109"/>
  <c r="M109" s="1"/>
  <c r="T108"/>
  <c r="U108" s="1"/>
  <c r="K108"/>
  <c r="M108" s="1"/>
  <c r="M104"/>
  <c r="S103"/>
  <c r="M103"/>
  <c r="V102"/>
  <c r="U102"/>
  <c r="AA98" s="1"/>
  <c r="T102"/>
  <c r="M102"/>
  <c r="F101"/>
  <c r="E101"/>
  <c r="M100"/>
  <c r="J99"/>
  <c r="M98"/>
  <c r="S97"/>
  <c r="M97"/>
  <c r="V96"/>
  <c r="U96"/>
  <c r="AA89" s="1"/>
  <c r="T96"/>
  <c r="M96"/>
  <c r="I95"/>
  <c r="H95"/>
  <c r="F95"/>
  <c r="E95"/>
  <c r="M94"/>
  <c r="T93"/>
  <c r="U93" s="1"/>
  <c r="V93" s="1"/>
  <c r="Q92"/>
  <c r="Q91"/>
  <c r="G95"/>
  <c r="M89"/>
  <c r="S88"/>
  <c r="M88"/>
  <c r="V87"/>
  <c r="U87"/>
  <c r="T87"/>
  <c r="M87"/>
  <c r="I86"/>
  <c r="H86"/>
  <c r="F86"/>
  <c r="E86"/>
  <c r="M85"/>
  <c r="O85"/>
  <c r="M84"/>
  <c r="M83"/>
  <c r="O83"/>
  <c r="M82"/>
  <c r="Q82"/>
  <c r="M80"/>
  <c r="V79"/>
  <c r="J79"/>
  <c r="M79" s="1"/>
  <c r="G79"/>
  <c r="Q79" s="1"/>
  <c r="AA78"/>
  <c r="M78"/>
  <c r="S77"/>
  <c r="M77"/>
  <c r="V76"/>
  <c r="U76"/>
  <c r="T76"/>
  <c r="M76"/>
  <c r="I75"/>
  <c r="H75"/>
  <c r="F75"/>
  <c r="E75"/>
  <c r="N75" s="1"/>
  <c r="M74"/>
  <c r="T74"/>
  <c r="U74" s="1"/>
  <c r="V74" s="1"/>
  <c r="M73"/>
  <c r="T73"/>
  <c r="U73" s="1"/>
  <c r="V73" s="1"/>
  <c r="T72"/>
  <c r="U72" s="1"/>
  <c r="K72"/>
  <c r="G72"/>
  <c r="T71"/>
  <c r="U71" s="1"/>
  <c r="V71" s="1"/>
  <c r="K71"/>
  <c r="G71"/>
  <c r="M70"/>
  <c r="M69"/>
  <c r="J68"/>
  <c r="AA67"/>
  <c r="M67"/>
  <c r="S66"/>
  <c r="M66"/>
  <c r="V65"/>
  <c r="U65"/>
  <c r="AA58" s="1"/>
  <c r="T65"/>
  <c r="M65"/>
  <c r="F64"/>
  <c r="E64"/>
  <c r="T63"/>
  <c r="U63" s="1"/>
  <c r="V63" s="1"/>
  <c r="K63"/>
  <c r="T62"/>
  <c r="U62" s="1"/>
  <c r="V62" s="1"/>
  <c r="K62"/>
  <c r="M61"/>
  <c r="G61"/>
  <c r="O61" s="1"/>
  <c r="M60"/>
  <c r="Q59"/>
  <c r="M58"/>
  <c r="S57"/>
  <c r="R57"/>
  <c r="P57"/>
  <c r="M57"/>
  <c r="V56"/>
  <c r="U56"/>
  <c r="AA47" s="1"/>
  <c r="T56"/>
  <c r="M56"/>
  <c r="F55"/>
  <c r="E55"/>
  <c r="T54"/>
  <c r="U54" s="1"/>
  <c r="V54" s="1"/>
  <c r="K54"/>
  <c r="M54" s="1"/>
  <c r="T53"/>
  <c r="U53" s="1"/>
  <c r="V53" s="1"/>
  <c r="K53"/>
  <c r="M53" s="1"/>
  <c r="T52"/>
  <c r="U52" s="1"/>
  <c r="K52"/>
  <c r="M52" s="1"/>
  <c r="M51"/>
  <c r="M50"/>
  <c r="M49"/>
  <c r="J48"/>
  <c r="M47"/>
  <c r="S46"/>
  <c r="M46"/>
  <c r="V45"/>
  <c r="U45"/>
  <c r="AA36" s="1"/>
  <c r="T45"/>
  <c r="M45"/>
  <c r="I44"/>
  <c r="H44"/>
  <c r="F44"/>
  <c r="E44"/>
  <c r="T43"/>
  <c r="U43" s="1"/>
  <c r="V43" s="1"/>
  <c r="K43"/>
  <c r="M43" s="1"/>
  <c r="T42"/>
  <c r="U42" s="1"/>
  <c r="V42" s="1"/>
  <c r="K42"/>
  <c r="M42" s="1"/>
  <c r="T41"/>
  <c r="U41" s="1"/>
  <c r="V41" s="1"/>
  <c r="K41"/>
  <c r="M41" s="1"/>
  <c r="T40"/>
  <c r="U40" s="1"/>
  <c r="K40"/>
  <c r="M40" s="1"/>
  <c r="M39"/>
  <c r="M38"/>
  <c r="Q38"/>
  <c r="J37"/>
  <c r="M36"/>
  <c r="S35"/>
  <c r="M35"/>
  <c r="V34"/>
  <c r="U34"/>
  <c r="AA20" s="1"/>
  <c r="T34"/>
  <c r="M34"/>
  <c r="F33"/>
  <c r="E33"/>
  <c r="N33" s="1"/>
  <c r="T32"/>
  <c r="U32" s="1"/>
  <c r="K32"/>
  <c r="M32" s="1"/>
  <c r="G32"/>
  <c r="T31"/>
  <c r="U31" s="1"/>
  <c r="V31" s="1"/>
  <c r="K31"/>
  <c r="M31" s="1"/>
  <c r="G31"/>
  <c r="Q29"/>
  <c r="M29"/>
  <c r="V28"/>
  <c r="G28"/>
  <c r="Q28" s="1"/>
  <c r="V27"/>
  <c r="G27"/>
  <c r="Q27" s="1"/>
  <c r="M25"/>
  <c r="S24"/>
  <c r="R24"/>
  <c r="R121" s="1"/>
  <c r="P24"/>
  <c r="P121" s="1"/>
  <c r="M24"/>
  <c r="T23"/>
  <c r="U23" s="1"/>
  <c r="V23" s="1"/>
  <c r="M23"/>
  <c r="T22"/>
  <c r="U22" s="1"/>
  <c r="V22" s="1"/>
  <c r="M22"/>
  <c r="V21"/>
  <c r="M21"/>
  <c r="I20"/>
  <c r="H20"/>
  <c r="F20"/>
  <c r="E20"/>
  <c r="N20" s="1"/>
  <c r="X19"/>
  <c r="G19"/>
  <c r="M18"/>
  <c r="Q17"/>
  <c r="Q16"/>
  <c r="G15"/>
  <c r="Q15" s="1"/>
  <c r="S14"/>
  <c r="R14"/>
  <c r="P14"/>
  <c r="L19" i="11"/>
  <c r="L20"/>
  <c r="L21"/>
  <c r="L22"/>
  <c r="L23"/>
  <c r="K19"/>
  <c r="K20"/>
  <c r="K21"/>
  <c r="K22"/>
  <c r="K23"/>
  <c r="N61" i="14" l="1"/>
  <c r="G101"/>
  <c r="Q100"/>
  <c r="Q105"/>
  <c r="G119"/>
  <c r="Q119" s="1"/>
  <c r="O15"/>
  <c r="O95"/>
  <c r="Q95"/>
  <c r="G55"/>
  <c r="Q55" s="1"/>
  <c r="G20"/>
  <c r="Q20" s="1"/>
  <c r="Q18"/>
  <c r="O19"/>
  <c r="Q19"/>
  <c r="M101"/>
  <c r="Q101"/>
  <c r="Q115"/>
  <c r="N19"/>
  <c r="M26"/>
  <c r="M27"/>
  <c r="M28"/>
  <c r="M30"/>
  <c r="M37"/>
  <c r="G44"/>
  <c r="Q44" s="1"/>
  <c r="M48"/>
  <c r="M59"/>
  <c r="M68"/>
  <c r="G75"/>
  <c r="M90"/>
  <c r="M91"/>
  <c r="M92"/>
  <c r="T94"/>
  <c r="U94" s="1"/>
  <c r="V94" s="1"/>
  <c r="M99"/>
  <c r="M105"/>
  <c r="M106"/>
  <c r="M107"/>
  <c r="N208" i="4"/>
  <c r="T204"/>
  <c r="T197"/>
  <c r="U197" s="1"/>
  <c r="T188"/>
  <c r="U188" s="1"/>
  <c r="T64"/>
  <c r="U64" s="1"/>
  <c r="T55"/>
  <c r="U55" s="1"/>
  <c r="T22"/>
  <c r="U22" s="1"/>
  <c r="P35"/>
  <c r="O35"/>
  <c r="O12"/>
  <c r="O23" s="1"/>
  <c r="P12"/>
  <c r="N203"/>
  <c r="R218"/>
  <c r="W218" s="1"/>
  <c r="X218" s="1"/>
  <c r="R36"/>
  <c r="S121" i="14"/>
  <c r="T19"/>
  <c r="U19" s="1"/>
  <c r="U24" i="4"/>
  <c r="N37"/>
  <c r="O38"/>
  <c r="T65"/>
  <c r="U57"/>
  <c r="P90"/>
  <c r="O72"/>
  <c r="N71"/>
  <c r="N105"/>
  <c r="T105" s="1"/>
  <c r="U105" s="1"/>
  <c r="T104"/>
  <c r="U104" s="1"/>
  <c r="O178"/>
  <c r="N281"/>
  <c r="N280"/>
  <c r="N279"/>
  <c r="N278"/>
  <c r="N277"/>
  <c r="N276"/>
  <c r="M276"/>
  <c r="M281"/>
  <c r="M280"/>
  <c r="M279"/>
  <c r="M278"/>
  <c r="M277"/>
  <c r="M292"/>
  <c r="M296"/>
  <c r="M295"/>
  <c r="M294"/>
  <c r="M293"/>
  <c r="N309"/>
  <c r="N308"/>
  <c r="N307"/>
  <c r="N306"/>
  <c r="N305"/>
  <c r="M305"/>
  <c r="M309"/>
  <c r="M308"/>
  <c r="M307"/>
  <c r="M306"/>
  <c r="N322"/>
  <c r="N321"/>
  <c r="N320"/>
  <c r="N319"/>
  <c r="N318"/>
  <c r="M318"/>
  <c r="M322"/>
  <c r="M321"/>
  <c r="M320"/>
  <c r="M319"/>
  <c r="P337"/>
  <c r="P336"/>
  <c r="P335"/>
  <c r="P334"/>
  <c r="P333"/>
  <c r="P332"/>
  <c r="P331"/>
  <c r="O331"/>
  <c r="O337"/>
  <c r="O336"/>
  <c r="O335"/>
  <c r="O334"/>
  <c r="O333"/>
  <c r="O332"/>
  <c r="O351"/>
  <c r="O350"/>
  <c r="O349"/>
  <c r="O348"/>
  <c r="O347"/>
  <c r="O346"/>
  <c r="N346"/>
  <c r="N351"/>
  <c r="N350"/>
  <c r="N349"/>
  <c r="N348"/>
  <c r="N347"/>
  <c r="R23"/>
  <c r="R219" s="1"/>
  <c r="P23"/>
  <c r="G23"/>
  <c r="R24"/>
  <c r="R30" s="1"/>
  <c r="P30"/>
  <c r="G30"/>
  <c r="N35"/>
  <c r="G36"/>
  <c r="R55"/>
  <c r="R57"/>
  <c r="R65" s="1"/>
  <c r="P65"/>
  <c r="G65"/>
  <c r="G80" s="1"/>
  <c r="P70"/>
  <c r="T69"/>
  <c r="G72"/>
  <c r="R90"/>
  <c r="G90"/>
  <c r="G113" s="1"/>
  <c r="R96"/>
  <c r="R98"/>
  <c r="R103" s="1"/>
  <c r="U102"/>
  <c r="O105"/>
  <c r="S219"/>
  <c r="L296"/>
  <c r="L295"/>
  <c r="L294"/>
  <c r="L293"/>
  <c r="O293" s="1"/>
  <c r="L292"/>
  <c r="N296"/>
  <c r="N295"/>
  <c r="N294"/>
  <c r="N293"/>
  <c r="N292"/>
  <c r="N22"/>
  <c r="N29"/>
  <c r="P56"/>
  <c r="N64"/>
  <c r="R66"/>
  <c r="R70" s="1"/>
  <c r="N69"/>
  <c r="N89"/>
  <c r="R91"/>
  <c r="R97" s="1"/>
  <c r="P103"/>
  <c r="R124"/>
  <c r="N123"/>
  <c r="Q219"/>
  <c r="P133"/>
  <c r="P148" s="1"/>
  <c r="R132"/>
  <c r="R133" s="1"/>
  <c r="R134"/>
  <c r="R138" s="1"/>
  <c r="T137"/>
  <c r="G138"/>
  <c r="G148" s="1"/>
  <c r="R160"/>
  <c r="P160"/>
  <c r="T159"/>
  <c r="G160"/>
  <c r="R162"/>
  <c r="R169" s="1"/>
  <c r="N167"/>
  <c r="T168"/>
  <c r="G169"/>
  <c r="P175"/>
  <c r="R171"/>
  <c r="R175" s="1"/>
  <c r="T174"/>
  <c r="G175"/>
  <c r="G178"/>
  <c r="N187"/>
  <c r="T187" s="1"/>
  <c r="P195"/>
  <c r="P218" s="1"/>
  <c r="N196"/>
  <c r="T196" s="1"/>
  <c r="T206"/>
  <c r="U206" s="1"/>
  <c r="T207"/>
  <c r="U207" s="1"/>
  <c r="N209"/>
  <c r="L271"/>
  <c r="N271"/>
  <c r="L274"/>
  <c r="L275" s="1"/>
  <c r="L287"/>
  <c r="L300"/>
  <c r="N300"/>
  <c r="L303"/>
  <c r="L304" s="1"/>
  <c r="L313"/>
  <c r="N313"/>
  <c r="L316"/>
  <c r="L317" s="1"/>
  <c r="N326"/>
  <c r="P326"/>
  <c r="N329"/>
  <c r="N330" s="1"/>
  <c r="M341"/>
  <c r="O341"/>
  <c r="M344"/>
  <c r="M345" s="1"/>
  <c r="N158"/>
  <c r="X177"/>
  <c r="N193"/>
  <c r="V19" i="14"/>
  <c r="O20"/>
  <c r="M20"/>
  <c r="T20"/>
  <c r="U20" s="1"/>
  <c r="V20" s="1"/>
  <c r="V32"/>
  <c r="V40"/>
  <c r="V52"/>
  <c r="V72"/>
  <c r="N44"/>
  <c r="M44"/>
  <c r="O55"/>
  <c r="N55"/>
  <c r="M55"/>
  <c r="V108"/>
  <c r="O119"/>
  <c r="T119" s="1"/>
  <c r="M119"/>
  <c r="V116"/>
  <c r="M15"/>
  <c r="M16"/>
  <c r="M17"/>
  <c r="U21"/>
  <c r="AB11" s="1"/>
  <c r="N15"/>
  <c r="T16"/>
  <c r="U16" s="1"/>
  <c r="T17"/>
  <c r="U17" s="1"/>
  <c r="V17" s="1"/>
  <c r="O14"/>
  <c r="O13" s="1"/>
  <c r="T21"/>
  <c r="Q26"/>
  <c r="O27"/>
  <c r="O28"/>
  <c r="T29"/>
  <c r="U29" s="1"/>
  <c r="V29" s="1"/>
  <c r="Q30"/>
  <c r="G33"/>
  <c r="N37"/>
  <c r="Q37"/>
  <c r="N48"/>
  <c r="Q48"/>
  <c r="Q49"/>
  <c r="Q50"/>
  <c r="O47"/>
  <c r="O46" s="1"/>
  <c r="O58"/>
  <c r="O57" s="1"/>
  <c r="Q60"/>
  <c r="Q61"/>
  <c r="T61" s="1"/>
  <c r="U61" s="1"/>
  <c r="V61" s="1"/>
  <c r="G64"/>
  <c r="N68"/>
  <c r="Q68"/>
  <c r="Q69"/>
  <c r="Q70"/>
  <c r="O79"/>
  <c r="Q80"/>
  <c r="Q81"/>
  <c r="T83"/>
  <c r="U83" s="1"/>
  <c r="V83" s="1"/>
  <c r="O84"/>
  <c r="T84" s="1"/>
  <c r="U84" s="1"/>
  <c r="V84" s="1"/>
  <c r="T85"/>
  <c r="U85" s="1"/>
  <c r="V85" s="1"/>
  <c r="G86"/>
  <c r="Q86" s="1"/>
  <c r="Q90"/>
  <c r="M95"/>
  <c r="N99"/>
  <c r="Q99"/>
  <c r="Q98" s="1"/>
  <c r="Q97" s="1"/>
  <c r="Q106"/>
  <c r="Q107"/>
  <c r="G110"/>
  <c r="Q110" s="1"/>
  <c r="N114"/>
  <c r="Q114"/>
  <c r="Q113" s="1"/>
  <c r="Q112" s="1"/>
  <c r="N27"/>
  <c r="N28"/>
  <c r="T28" s="1"/>
  <c r="Q39"/>
  <c r="T39" s="1"/>
  <c r="U39" s="1"/>
  <c r="V39" s="1"/>
  <c r="Q51"/>
  <c r="O67"/>
  <c r="O66" s="1"/>
  <c r="N79"/>
  <c r="T91"/>
  <c r="U91" s="1"/>
  <c r="V91" s="1"/>
  <c r="T92"/>
  <c r="U92" s="1"/>
  <c r="V92" s="1"/>
  <c r="T100"/>
  <c r="U100" s="1"/>
  <c r="O113"/>
  <c r="O112" s="1"/>
  <c r="T101" l="1"/>
  <c r="U101" s="1"/>
  <c r="V101" s="1"/>
  <c r="T95"/>
  <c r="U95" s="1"/>
  <c r="V95" s="1"/>
  <c r="T106"/>
  <c r="U106" s="1"/>
  <c r="V106" s="1"/>
  <c r="Q58"/>
  <c r="Q104"/>
  <c r="Q103" s="1"/>
  <c r="X103" s="1"/>
  <c r="Y103" s="1"/>
  <c r="O25"/>
  <c r="Q78"/>
  <c r="Q77" s="1"/>
  <c r="Q14"/>
  <c r="T60"/>
  <c r="U60" s="1"/>
  <c r="V60" s="1"/>
  <c r="O44"/>
  <c r="T44" s="1"/>
  <c r="U44" s="1"/>
  <c r="V44" s="1"/>
  <c r="N25"/>
  <c r="N24" s="1"/>
  <c r="Q13"/>
  <c r="T99"/>
  <c r="U99" s="1"/>
  <c r="V99" s="1"/>
  <c r="O36"/>
  <c r="O35" s="1"/>
  <c r="O89"/>
  <c r="O88" s="1"/>
  <c r="Q89"/>
  <c r="Q88" s="1"/>
  <c r="M64"/>
  <c r="Q64"/>
  <c r="M33"/>
  <c r="Q33"/>
  <c r="Q67"/>
  <c r="Q47"/>
  <c r="Q36"/>
  <c r="Q25"/>
  <c r="N14"/>
  <c r="O24"/>
  <c r="M75"/>
  <c r="Q75"/>
  <c r="T18"/>
  <c r="U18" s="1"/>
  <c r="V18" s="1"/>
  <c r="U119"/>
  <c r="V119" s="1"/>
  <c r="V100"/>
  <c r="V98" s="1"/>
  <c r="V97" s="1"/>
  <c r="T193" i="4"/>
  <c r="U193" s="1"/>
  <c r="T167"/>
  <c r="U167" s="1"/>
  <c r="T158"/>
  <c r="U158" s="1"/>
  <c r="T89"/>
  <c r="U89" s="1"/>
  <c r="U65"/>
  <c r="T123"/>
  <c r="U123" s="1"/>
  <c r="T35"/>
  <c r="U35" s="1"/>
  <c r="T29"/>
  <c r="U29" s="1"/>
  <c r="U30" s="1"/>
  <c r="V16" i="14"/>
  <c r="N96" i="4"/>
  <c r="U96" s="1"/>
  <c r="T107" i="14"/>
  <c r="U107" s="1"/>
  <c r="V107" s="1"/>
  <c r="T81"/>
  <c r="U81" s="1"/>
  <c r="V81" s="1"/>
  <c r="T80"/>
  <c r="U80" s="1"/>
  <c r="Q57"/>
  <c r="AB57" s="1"/>
  <c r="T51"/>
  <c r="U51" s="1"/>
  <c r="V51" s="1"/>
  <c r="T50"/>
  <c r="U50" s="1"/>
  <c r="V50" s="1"/>
  <c r="T49"/>
  <c r="U49" s="1"/>
  <c r="V49" s="1"/>
  <c r="O169" i="4"/>
  <c r="N161"/>
  <c r="T161" s="1"/>
  <c r="M351"/>
  <c r="P351" s="1"/>
  <c r="M350"/>
  <c r="P350" s="1"/>
  <c r="M349"/>
  <c r="P349" s="1"/>
  <c r="M348"/>
  <c r="P348" s="1"/>
  <c r="M347"/>
  <c r="P347" s="1"/>
  <c r="M346"/>
  <c r="P346" s="1"/>
  <c r="L322"/>
  <c r="O322" s="1"/>
  <c r="L321"/>
  <c r="O321" s="1"/>
  <c r="L320"/>
  <c r="O320" s="1"/>
  <c r="L319"/>
  <c r="O319" s="1"/>
  <c r="L318"/>
  <c r="O318" s="1"/>
  <c r="N210"/>
  <c r="T210" s="1"/>
  <c r="U210" s="1"/>
  <c r="T209"/>
  <c r="U209" s="1"/>
  <c r="U196"/>
  <c r="T203"/>
  <c r="U203" s="1"/>
  <c r="V187"/>
  <c r="O140"/>
  <c r="N134"/>
  <c r="T134" s="1"/>
  <c r="O138"/>
  <c r="O36"/>
  <c r="N31"/>
  <c r="T31" s="1"/>
  <c r="N81"/>
  <c r="T81" s="1"/>
  <c r="O90"/>
  <c r="N24"/>
  <c r="N30" s="1"/>
  <c r="O30"/>
  <c r="N12"/>
  <c r="T12" s="1"/>
  <c r="N178"/>
  <c r="T176"/>
  <c r="N72"/>
  <c r="T72" s="1"/>
  <c r="U72" s="1"/>
  <c r="T71"/>
  <c r="U71" s="1"/>
  <c r="N38"/>
  <c r="T37"/>
  <c r="P169"/>
  <c r="P186" s="1"/>
  <c r="R186"/>
  <c r="N132"/>
  <c r="R148"/>
  <c r="W148" s="1"/>
  <c r="X148" s="1"/>
  <c r="O292"/>
  <c r="O294"/>
  <c r="O296"/>
  <c r="O195"/>
  <c r="R56"/>
  <c r="P36"/>
  <c r="P113"/>
  <c r="T30"/>
  <c r="O175"/>
  <c r="N170"/>
  <c r="T170" s="1"/>
  <c r="O133"/>
  <c r="N125"/>
  <c r="T125" s="1"/>
  <c r="N337"/>
  <c r="Q337" s="1"/>
  <c r="N336"/>
  <c r="Q336" s="1"/>
  <c r="N335"/>
  <c r="Q335" s="1"/>
  <c r="N334"/>
  <c r="Q334" s="1"/>
  <c r="N333"/>
  <c r="Q333" s="1"/>
  <c r="N332"/>
  <c r="Q332" s="1"/>
  <c r="N331"/>
  <c r="Q331" s="1"/>
  <c r="L309"/>
  <c r="O309" s="1"/>
  <c r="L308"/>
  <c r="O308" s="1"/>
  <c r="L307"/>
  <c r="O307" s="1"/>
  <c r="L306"/>
  <c r="O306" s="1"/>
  <c r="L305"/>
  <c r="O305" s="1"/>
  <c r="L281"/>
  <c r="O281" s="1"/>
  <c r="L280"/>
  <c r="O280" s="1"/>
  <c r="L279"/>
  <c r="O279" s="1"/>
  <c r="L278"/>
  <c r="O278" s="1"/>
  <c r="L277"/>
  <c r="O277" s="1"/>
  <c r="L276"/>
  <c r="O276" s="1"/>
  <c r="T208"/>
  <c r="U204"/>
  <c r="U208" s="1"/>
  <c r="X176"/>
  <c r="G186"/>
  <c r="Y177" s="1"/>
  <c r="Z177" s="1"/>
  <c r="Z178" s="1"/>
  <c r="N149"/>
  <c r="T149" s="1"/>
  <c r="O160"/>
  <c r="O124"/>
  <c r="O148" s="1"/>
  <c r="N114"/>
  <c r="T114" s="1"/>
  <c r="O97"/>
  <c r="N91"/>
  <c r="O70"/>
  <c r="N66"/>
  <c r="T66" s="1"/>
  <c r="O103"/>
  <c r="N98"/>
  <c r="T98" s="1"/>
  <c r="N57"/>
  <c r="N65" s="1"/>
  <c r="O65"/>
  <c r="O56"/>
  <c r="N47"/>
  <c r="T47" s="1"/>
  <c r="W23"/>
  <c r="W46"/>
  <c r="N171"/>
  <c r="N162"/>
  <c r="P80"/>
  <c r="O295"/>
  <c r="R113"/>
  <c r="N55"/>
  <c r="G46"/>
  <c r="X57" i="14"/>
  <c r="Y57" s="1"/>
  <c r="T79"/>
  <c r="N78"/>
  <c r="T59"/>
  <c r="N58"/>
  <c r="N57" s="1"/>
  <c r="N110"/>
  <c r="M110"/>
  <c r="O110"/>
  <c r="T98"/>
  <c r="N98"/>
  <c r="N97" s="1"/>
  <c r="N86"/>
  <c r="T86" s="1"/>
  <c r="U86" s="1"/>
  <c r="M86"/>
  <c r="T48"/>
  <c r="N47"/>
  <c r="N46" s="1"/>
  <c r="T37"/>
  <c r="U37" s="1"/>
  <c r="N36"/>
  <c r="N35" s="1"/>
  <c r="T26"/>
  <c r="T15"/>
  <c r="T14" s="1"/>
  <c r="N13"/>
  <c r="AB13"/>
  <c r="AC13" s="1"/>
  <c r="X13"/>
  <c r="Y13" s="1"/>
  <c r="T105"/>
  <c r="N104"/>
  <c r="N103" s="1"/>
  <c r="T114"/>
  <c r="U114" s="1"/>
  <c r="V114" s="1"/>
  <c r="N113"/>
  <c r="N112" s="1"/>
  <c r="AB97"/>
  <c r="AC97" s="1"/>
  <c r="X97"/>
  <c r="Y97" s="1"/>
  <c r="T90"/>
  <c r="N89"/>
  <c r="N88" s="1"/>
  <c r="T68"/>
  <c r="U68" s="1"/>
  <c r="N67"/>
  <c r="N66" s="1"/>
  <c r="Q66"/>
  <c r="O98"/>
  <c r="O97" s="1"/>
  <c r="T82"/>
  <c r="U82" s="1"/>
  <c r="V82" s="1"/>
  <c r="T38"/>
  <c r="U38" s="1"/>
  <c r="V38" s="1"/>
  <c r="T27"/>
  <c r="T115"/>
  <c r="U115" s="1"/>
  <c r="O104"/>
  <c r="O103" s="1"/>
  <c r="O78"/>
  <c r="O77" s="1"/>
  <c r="T70"/>
  <c r="T69"/>
  <c r="U69" s="1"/>
  <c r="V69" s="1"/>
  <c r="Q46"/>
  <c r="T30"/>
  <c r="U30" s="1"/>
  <c r="V30" s="1"/>
  <c r="Q24"/>
  <c r="T55"/>
  <c r="U55" s="1"/>
  <c r="V55" s="1"/>
  <c r="T75" l="1"/>
  <c r="U75" s="1"/>
  <c r="V75" s="1"/>
  <c r="T33"/>
  <c r="U33" s="1"/>
  <c r="T64"/>
  <c r="U64" s="1"/>
  <c r="V64" s="1"/>
  <c r="Q35"/>
  <c r="Q121" s="1"/>
  <c r="AB103"/>
  <c r="AC103" s="1"/>
  <c r="U14"/>
  <c r="U13" s="1"/>
  <c r="AB88"/>
  <c r="AC88" s="1"/>
  <c r="X88"/>
  <c r="Y88" s="1"/>
  <c r="X77"/>
  <c r="Y77" s="1"/>
  <c r="AB77"/>
  <c r="AC77" s="1"/>
  <c r="V33"/>
  <c r="O121"/>
  <c r="V14"/>
  <c r="V13" s="1"/>
  <c r="U98"/>
  <c r="U97" s="1"/>
  <c r="V68"/>
  <c r="T89"/>
  <c r="U90"/>
  <c r="T104"/>
  <c r="U105"/>
  <c r="V37"/>
  <c r="V36" s="1"/>
  <c r="V35" s="1"/>
  <c r="U36"/>
  <c r="U35" s="1"/>
  <c r="X37" s="1"/>
  <c r="T47"/>
  <c r="U48"/>
  <c r="U70"/>
  <c r="V70" s="1"/>
  <c r="T58"/>
  <c r="U59"/>
  <c r="U78"/>
  <c r="V80"/>
  <c r="V78" s="1"/>
  <c r="V115"/>
  <c r="V113" s="1"/>
  <c r="V112" s="1"/>
  <c r="U113"/>
  <c r="U112" s="1"/>
  <c r="X114" s="1"/>
  <c r="T97"/>
  <c r="U26"/>
  <c r="T25"/>
  <c r="T195" i="4"/>
  <c r="U171"/>
  <c r="T171"/>
  <c r="T162"/>
  <c r="U162" s="1"/>
  <c r="W80"/>
  <c r="X80" s="1"/>
  <c r="N97"/>
  <c r="T91"/>
  <c r="T132"/>
  <c r="U132" s="1"/>
  <c r="T13" i="14"/>
  <c r="W113" i="4"/>
  <c r="X113" s="1"/>
  <c r="O186"/>
  <c r="N186" s="1"/>
  <c r="N148"/>
  <c r="N56"/>
  <c r="N103"/>
  <c r="N70"/>
  <c r="N124"/>
  <c r="N133"/>
  <c r="N175"/>
  <c r="O218"/>
  <c r="N195"/>
  <c r="W186"/>
  <c r="X186" s="1"/>
  <c r="N23"/>
  <c r="N90"/>
  <c r="N138"/>
  <c r="N140"/>
  <c r="T140" s="1"/>
  <c r="U140" s="1"/>
  <c r="T139"/>
  <c r="U139" s="1"/>
  <c r="N169"/>
  <c r="X46"/>
  <c r="N160"/>
  <c r="T38"/>
  <c r="U37"/>
  <c r="U38" s="1"/>
  <c r="U176"/>
  <c r="T178"/>
  <c r="U178" s="1"/>
  <c r="N36"/>
  <c r="U187"/>
  <c r="U195" s="1"/>
  <c r="U218" s="1"/>
  <c r="N80"/>
  <c r="N46"/>
  <c r="O113"/>
  <c r="N113" s="1"/>
  <c r="X15" i="14"/>
  <c r="AA12"/>
  <c r="AB24"/>
  <c r="AC24" s="1"/>
  <c r="X24"/>
  <c r="Y24" s="1"/>
  <c r="AB35"/>
  <c r="AC35" s="1"/>
  <c r="X35"/>
  <c r="Y35" s="1"/>
  <c r="AB66"/>
  <c r="AC66" s="1"/>
  <c r="X66"/>
  <c r="Y66" s="1"/>
  <c r="V86"/>
  <c r="V77" s="1"/>
  <c r="U77"/>
  <c r="AB46"/>
  <c r="AC46" s="1"/>
  <c r="X46"/>
  <c r="Y46" s="1"/>
  <c r="AB112"/>
  <c r="AC112" s="1"/>
  <c r="X112"/>
  <c r="Y112" s="1"/>
  <c r="T36"/>
  <c r="N77"/>
  <c r="T67"/>
  <c r="T113"/>
  <c r="T110"/>
  <c r="U110" s="1"/>
  <c r="T78"/>
  <c r="T35" l="1"/>
  <c r="T77"/>
  <c r="N121"/>
  <c r="T24"/>
  <c r="T57"/>
  <c r="T66"/>
  <c r="T46"/>
  <c r="T88"/>
  <c r="AB98"/>
  <c r="X99"/>
  <c r="AB36"/>
  <c r="W70"/>
  <c r="V67"/>
  <c r="V66" s="1"/>
  <c r="U58"/>
  <c r="U57" s="1"/>
  <c r="V59"/>
  <c r="V58" s="1"/>
  <c r="V57" s="1"/>
  <c r="U47"/>
  <c r="U46" s="1"/>
  <c r="V48"/>
  <c r="V47" s="1"/>
  <c r="V46" s="1"/>
  <c r="U104"/>
  <c r="U103" s="1"/>
  <c r="V105"/>
  <c r="V104" s="1"/>
  <c r="U89"/>
  <c r="U88" s="1"/>
  <c r="V90"/>
  <c r="V89" s="1"/>
  <c r="V88" s="1"/>
  <c r="U67"/>
  <c r="U66" s="1"/>
  <c r="T112"/>
  <c r="AB113"/>
  <c r="U25"/>
  <c r="U24" s="1"/>
  <c r="V26"/>
  <c r="V25" s="1"/>
  <c r="V24" s="1"/>
  <c r="N218" i="4"/>
  <c r="N219" s="1"/>
  <c r="O219"/>
  <c r="T103"/>
  <c r="U98"/>
  <c r="U103" s="1"/>
  <c r="T56"/>
  <c r="U47"/>
  <c r="U56" s="1"/>
  <c r="V141"/>
  <c r="T36"/>
  <c r="U31"/>
  <c r="U36" s="1"/>
  <c r="T160"/>
  <c r="U149"/>
  <c r="U160" s="1"/>
  <c r="W175"/>
  <c r="T169"/>
  <c r="U161"/>
  <c r="U169" s="1"/>
  <c r="T138"/>
  <c r="U134"/>
  <c r="U138" s="1"/>
  <c r="T90"/>
  <c r="U81"/>
  <c r="T23"/>
  <c r="U12"/>
  <c r="U23" s="1"/>
  <c r="U46" s="1"/>
  <c r="T175"/>
  <c r="U170"/>
  <c r="U175" s="1"/>
  <c r="U125"/>
  <c r="U133" s="1"/>
  <c r="T133"/>
  <c r="T124"/>
  <c r="U114"/>
  <c r="U91"/>
  <c r="U97" s="1"/>
  <c r="T97"/>
  <c r="U66"/>
  <c r="U70" s="1"/>
  <c r="T70"/>
  <c r="V110" i="14"/>
  <c r="X48"/>
  <c r="AB47"/>
  <c r="AB78"/>
  <c r="X80"/>
  <c r="T103"/>
  <c r="V103" l="1"/>
  <c r="T121"/>
  <c r="X68"/>
  <c r="AB67"/>
  <c r="V121"/>
  <c r="AB89"/>
  <c r="X90"/>
  <c r="X59"/>
  <c r="AB58"/>
  <c r="AB20"/>
  <c r="X26"/>
  <c r="U121"/>
  <c r="T46" i="4"/>
  <c r="T148"/>
  <c r="W140" s="1"/>
  <c r="U124"/>
  <c r="U148" s="1"/>
  <c r="T113"/>
  <c r="W103" s="1"/>
  <c r="U90"/>
  <c r="U113" s="1"/>
  <c r="T186"/>
  <c r="T80"/>
  <c r="W69" s="1"/>
  <c r="U186"/>
  <c r="U80"/>
  <c r="AB104" i="14"/>
  <c r="X106"/>
  <c r="U219" i="4" l="1"/>
  <c r="W34"/>
  <c r="W176"/>
  <c r="W177" s="1"/>
  <c r="Z186"/>
  <c r="I27" i="11"/>
  <c r="H18"/>
  <c r="E24" l="1"/>
  <c r="F24"/>
  <c r="G24"/>
  <c r="H24"/>
  <c r="D24"/>
  <c r="P24" s="1"/>
  <c r="J23"/>
  <c r="J22"/>
  <c r="J21"/>
  <c r="J19"/>
  <c r="J17" l="1"/>
  <c r="I64" l="1"/>
  <c r="I65"/>
  <c r="I66"/>
  <c r="I67"/>
  <c r="I68"/>
  <c r="I69"/>
  <c r="I70" l="1"/>
  <c r="K63" l="1"/>
  <c r="J63"/>
  <c r="K65" l="1"/>
  <c r="K67"/>
  <c r="K69"/>
  <c r="K64"/>
  <c r="K66"/>
  <c r="K68"/>
  <c r="J64"/>
  <c r="J66"/>
  <c r="J68"/>
  <c r="J67"/>
  <c r="J69"/>
  <c r="J65"/>
  <c r="J70" l="1"/>
  <c r="K70"/>
  <c r="K31" l="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G16"/>
  <c r="G15"/>
  <c r="G14"/>
  <c r="G12"/>
  <c r="K26" l="1"/>
  <c r="L26" s="1"/>
  <c r="H16"/>
  <c r="H15"/>
  <c r="H14"/>
  <c r="H12"/>
  <c r="L31"/>
  <c r="G17"/>
  <c r="J27"/>
  <c r="H17" l="1"/>
  <c r="K27"/>
  <c r="L25"/>
  <c r="L27" s="1"/>
  <c r="Q102" i="3" l="1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U241" l="1"/>
  <c r="T241"/>
  <c r="N22" l="1"/>
  <c r="U255" l="1"/>
  <c r="T255"/>
  <c r="T259" s="1"/>
  <c r="Q255"/>
  <c r="Q259" s="1"/>
  <c r="U248"/>
  <c r="T248"/>
  <c r="Q248"/>
  <c r="U247"/>
  <c r="T247"/>
  <c r="Q247"/>
  <c r="U242" l="1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Q14" l="1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W209" l="1"/>
  <c r="T219"/>
  <c r="I24" i="11"/>
  <c r="L18"/>
  <c r="L24" s="1"/>
  <c r="L32" s="1"/>
  <c r="J18"/>
  <c r="K18"/>
  <c r="K24" s="1"/>
  <c r="K32" s="1"/>
  <c r="J24" l="1"/>
  <c r="J32" s="1"/>
  <c r="S16" l="1"/>
  <c r="R16" s="1"/>
  <c r="S14"/>
  <c r="R14" s="1"/>
  <c r="S15"/>
  <c r="R15"/>
  <c r="S13"/>
  <c r="R13"/>
  <c r="S11"/>
  <c r="R11" s="1"/>
  <c r="S17"/>
  <c r="S12"/>
  <c r="R12"/>
</calcChain>
</file>

<file path=xl/comments1.xml><?xml version="1.0" encoding="utf-8"?>
<comments xmlns="http://schemas.openxmlformats.org/spreadsheetml/2006/main">
  <authors>
    <author>Автор</author>
  </authors>
  <commentLis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9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N1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O11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<sst xmlns="http://schemas.openxmlformats.org/spreadsheetml/2006/main" count="3855" uniqueCount="376">
  <si>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</si>
  <si>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</si>
  <si>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</si>
  <si>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</si>
  <si>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</si>
  <si>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</si>
  <si>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</si>
  <si>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</si>
  <si>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</si>
  <si>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</si>
  <si>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</si>
  <si>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</si>
  <si>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</si>
  <si>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</si>
  <si>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</si>
  <si>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</si>
  <si>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</si>
  <si>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</si>
  <si>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</si>
  <si>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</si>
  <si>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</si>
  <si>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</si>
  <si>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</si>
  <si>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</si>
  <si>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</si>
  <si>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</si>
  <si>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</si>
  <si>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</si>
  <si>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</si>
  <si>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</si>
  <si>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</si>
  <si>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</si>
  <si>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</si>
  <si>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</si>
  <si>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</si>
  <si>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</si>
  <si>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</si>
  <si>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</si>
  <si>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</si>
  <si>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</si>
  <si>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</si>
  <si>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</si>
  <si>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</si>
  <si>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</si>
  <si>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</si>
  <si>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</si>
  <si>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</si>
  <si>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</si>
  <si>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</si>
  <si>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</si>
  <si>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</si>
  <si>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</si>
  <si>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</si>
  <si>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</si>
  <si>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</si>
  <si>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</si>
  <si>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</si>
  <si>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</si>
  <si>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</si>
  <si>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</si>
  <si>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</si>
  <si>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</si>
  <si>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</si>
  <si>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</si>
  <si>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</si>
  <si>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</si>
  <si>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</si>
  <si>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</si>
  <si>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</si>
  <si>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</si>
  <si>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</si>
  <si>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</si>
  <si>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</si>
  <si>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</si>
  <si>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</si>
  <si>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</si>
  <si>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</si>
  <si>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</si>
  <si>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</si>
  <si>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</si>
  <si>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</si>
  <si>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</si>
  <si>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</si>
  <si>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</si>
  <si>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</si>
  <si>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</si>
  <si>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</si>
  <si>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</si>
  <si>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</si>
  <si>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</si>
  <si>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</si>
  <si>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</si>
  <si>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</si>
  <si>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</si>
  <si>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</si>
  <si>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</si>
  <si>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</si>
  <si>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</si>
  <si>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</si>
  <si>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</si>
  <si>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</si>
  <si>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</si>
  <si>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</si>
  <si>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</si>
  <si>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</si>
  <si>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</si>
  <si>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</si>
  <si>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</si>
  <si>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</si>
  <si>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</si>
  <si>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</si>
  <si>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</si>
  <si>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</si>
  <si>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</si>
  <si>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</si>
  <si>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</si>
  <si>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</si>
  <si>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</si>
  <si>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</si>
  <si>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</si>
  <si>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</si>
  <si>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</si>
  <si>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</si>
  <si>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</si>
  <si>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</si>
  <si>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</si>
  <si>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</si>
  <si>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</si>
  <si>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</si>
  <si>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</si>
  <si>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</si>
  <si>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</si>
  <si>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</si>
  <si>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</si>
  <si>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</si>
  <si>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</si>
  <si>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</si>
  <si>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</si>
  <si>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</si>
  <si>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</si>
  <si>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</si>
  <si>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</si>
  <si>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</si>
  <si>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</si>
  <si>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</si>
  <si>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</si>
  <si>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</si>
  <si>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</si>
  <si>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</si>
  <si>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</si>
  <si>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</si>
  <si>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</si>
  <si>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</si>
  <si>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</si>
  <si>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</si>
  <si>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</si>
  <si>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</si>
  <si>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</si>
  <si>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</si>
  <si>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</si>
  <si>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</si>
  <si>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</si>
  <si>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</si>
  <si>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</si>
  <si>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</si>
  <si>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</si>
  <si>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</si>
  <si>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</si>
  <si>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</si>
  <si>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</si>
  <si>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</si>
  <si>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</si>
  <si>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</si>
  <si>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</si>
  <si>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</si>
  <si>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</si>
  <si>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</si>
  <si>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</si>
  <si>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</si>
  <si>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</si>
  <si>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</si>
  <si>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</si>
  <si>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</si>
  <si>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</si>
  <si>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</si>
  <si>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</si>
  <si>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</si>
  <si>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</si>
  <si>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</si>
  <si>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</si>
  <si>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</si>
  <si>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</si>
  <si>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</si>
  <si>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</si>
  <si>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</si>
  <si>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</si>
  <si>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</si>
  <si>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</si>
  <si>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</si>
  <si>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</si>
  <si>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</si>
  <si>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</si>
  <si>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</si>
  <si>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</si>
  <si>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</si>
  <si>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</si>
  <si>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</si>
  <si>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</si>
  <si>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</si>
  <si>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</si>
  <si>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</si>
  <si>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</si>
  <si>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</si>
  <si>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</si>
  <si>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</si>
  <si>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</si>
  <si>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</si>
  <si>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</si>
  <si>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</si>
  <si>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</si>
  <si>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</si>
  <si>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</si>
  <si>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</si>
  <si>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</si>
  <si>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</si>
  <si>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</si>
  <si>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</si>
  <si>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</si>
  <si>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</si>
  <si>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</si>
  <si>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</si>
  <si>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</si>
  <si>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</si>
  <si>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</si>
  <si>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</si>
  <si>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</si>
  <si>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</si>
  <si>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</si>
  <si>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</si>
  <si>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</si>
  <si>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</si>
  <si>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</si>
  <si>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</si>
  <si>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</si>
  <si>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</si>
  <si>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</si>
  <si>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</si>
  <si>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</si>
  <si>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</si>
  <si>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</si>
  <si>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</si>
  <si>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</si>
  <si>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</si>
  <si>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</si>
  <si>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</si>
  <si>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</si>
  <si>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</si>
  <si>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</si>
  <si>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</si>
  <si>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</si>
  <si>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2022 год</t>
  </si>
  <si>
    <t>2022 год, всего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</si>
  <si>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</si>
  <si>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</si>
  <si>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</si>
  <si>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</si>
  <si>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</si>
  <si>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</si>
  <si>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</si>
  <si>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</si>
  <si>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</si>
  <si>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</si>
  <si>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</si>
  <si>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</si>
  <si>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</si>
  <si>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</si>
  <si>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</si>
  <si>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</si>
  <si>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</si>
  <si>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</si>
  <si>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</si>
  <si>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</si>
  <si>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</si>
  <si>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</si>
  <si>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</si>
  <si>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Доплата до МРОТ разница</t>
  </si>
  <si>
    <t>Краевая доплата пед.работ.</t>
  </si>
  <si>
    <t>t1/речь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</si>
  <si>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</si>
  <si>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</si>
  <si>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</si>
  <si>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</si>
  <si>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</si>
  <si>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</si>
  <si>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</si>
  <si>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</si>
  <si>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</si>
  <si>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</si>
  <si>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</si>
  <si>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</si>
  <si>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</si>
  <si>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</si>
  <si>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</si>
  <si>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</si>
  <si>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</si>
  <si>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</si>
  <si>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</si>
  <si>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</si>
  <si>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</si>
  <si>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</si>
  <si>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</si>
  <si>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</si>
  <si>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</si>
  <si>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</si>
  <si>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</si>
  <si>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</si>
  <si>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</si>
  <si>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</si>
  <si>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t=11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</si>
  <si>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</si>
  <si>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</si>
  <si>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</si>
  <si>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5\92</t>
  </si>
  <si>
    <t>4\62</t>
  </si>
  <si>
    <t>6\108</t>
  </si>
  <si>
    <t>2\18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</si>
  <si>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</si>
  <si>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</si>
  <si>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</si>
  <si>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</si>
  <si>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</si>
  <si>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</si>
  <si>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от00.00.2021 г. №000</t>
  </si>
  <si>
    <t>Нормативные затраты на оказание муниципальных услуг (работ) на 2021-2023 гг.</t>
  </si>
  <si>
    <t xml:space="preserve">2021 год </t>
  </si>
  <si>
    <t>2023 год</t>
  </si>
  <si>
    <t>к Приказу от 00.00.2021 г. № 000</t>
  </si>
  <si>
    <t>Всего на 2021 год:</t>
  </si>
  <si>
    <t>2023 год, всего</t>
  </si>
  <si>
    <t>на 01.01.2021 год</t>
  </si>
  <si>
    <t xml:space="preserve"> c 01.09.2021 год</t>
  </si>
  <si>
    <t>от 3 до 7 лет (b13)</t>
  </si>
  <si>
    <t>2021 год c 01.09.2021</t>
  </si>
  <si>
    <t>672261,79- на 1 класс+ 1351,63- на 1 человека</t>
  </si>
  <si>
    <t>631732,78- на 1 класс+ 1351,63 на 1 человека</t>
  </si>
  <si>
    <t>996986,3- на 1 класс+ 1649,65 на 1 человека</t>
  </si>
  <si>
    <t>790160,23- на 1 класс+1649,65 на 1 человека</t>
  </si>
  <si>
    <t>844004,86 на 1 класс+1998,78 на 1 человека</t>
  </si>
  <si>
    <t>672261,79- на 1 класс+27940,38 на 1 человека</t>
  </si>
  <si>
    <t>631732,78- на 1 класс+27940,38 на 1 человека</t>
  </si>
  <si>
    <t>996986,3- на 1 класс+ 28238,40 на 1 человека</t>
  </si>
  <si>
    <t>790160,23- на 1 класс+ 28238,40 на 1 человека</t>
  </si>
  <si>
    <t>844004,86 на 1 класс+ 28587,53 на 1 человека</t>
  </si>
  <si>
    <t>Реализация дополнительных общеразвивающих программ (социально-гуманитарное направление) 804200О.99.0.ББ52АЖ24000</t>
  </si>
  <si>
    <t>20869,50- на 1 человека</t>
  </si>
  <si>
    <t>20284,35- на 1 человека</t>
  </si>
  <si>
    <t>45178,25- на 1 человека</t>
  </si>
  <si>
    <t>Реализация дополнительных общеразвивающих программ (Персонифицированное финансиррвание) (социально-гуманитарное направление) 804200О.99.0.ББ52АЖ24000</t>
  </si>
  <si>
    <t>2021г.</t>
  </si>
  <si>
    <t>руб.</t>
  </si>
  <si>
    <t>Корректировка бюджета 17.02.2021г. (сумма)</t>
  </si>
  <si>
    <t>к Приказу от 02.04.2021 г. № 42</t>
  </si>
  <si>
    <t>на 17.02.2021г.</t>
  </si>
  <si>
    <t>на 31.04.2021г.</t>
  </si>
  <si>
    <t>на 11.01.2021г.</t>
  </si>
  <si>
    <t>чел/час</t>
  </si>
  <si>
    <t>общая сумма:</t>
  </si>
  <si>
    <t>сумма на МЗ:</t>
  </si>
  <si>
    <t>Базовый норматив затрат на единицу объема, на 17.02.21г.</t>
  </si>
  <si>
    <t>Нормативные затраты на оказание муницп-й услуги, на 17.02.21г.</t>
  </si>
  <si>
    <t>Базовый норматив затрат на единицу объема, на 11.01.21г.</t>
  </si>
  <si>
    <t>Нормативные затраты на оказание муницп-й услуги, на 11.01.21г.</t>
  </si>
  <si>
    <t>Базовый норматив затрат на единицу объема, на 31.03.21г.</t>
  </si>
  <si>
    <t>Нормативные затраты на оказание муницп-й услуги, на 31.03.21г.</t>
  </si>
  <si>
    <t>на 2021г.</t>
  </si>
  <si>
    <t>на 2022-23г.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</si>
</sst>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0.000000"/>
    <numFmt numFmtId="169" formatCode="0.00000000000"/>
    <numFmt numFmtId="170" formatCode="#,##0.00000"/>
    <numFmt numFmtId="171" formatCode="#,##0.000"/>
    <numFmt numFmtId="172" formatCode="#,##0.000000"/>
    <numFmt numFmtId="173" formatCode="0.00000"/>
    <numFmt numFmtId="174" formatCode="0.0000000000"/>
    <numFmt numFmtId="175" formatCode="0.000000000"/>
    <numFmt numFmtId="176" formatCode="0.0000"/>
    <numFmt numFmtId="178" formatCode="#,##0.0000000"/>
    <numFmt numFmtId="179" formatCode="#,##0.0000"/>
  </numFmts>
  <fonts count="4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9" tint="-0.499984740745262"/>
      <name val="Calibri"/>
      <family val="2"/>
      <charset val="204"/>
      <scheme val="minor"/>
    </font>
    <font>
      <sz val="8"/>
      <color theme="9" tint="-0.499984740745262"/>
      <name val="Calibri"/>
      <family val="2"/>
      <charset val="204"/>
      <scheme val="minor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theme="7" tint="-0.249977111117893"/>
      <name val="Calibri"/>
      <family val="2"/>
      <charset val="204"/>
      <scheme val="minor"/>
    </font>
    <font>
      <sz val="8"/>
      <color theme="7" tint="-0.249977111117893"/>
      <name val="Calibri"/>
      <family val="2"/>
      <charset val="204"/>
      <scheme val="minor"/>
    </font>
    <font>
      <sz val="9"/>
      <color theme="7" tint="-0.249977111117893"/>
      <name val="Times New Roman"/>
      <family val="1"/>
      <charset val="204"/>
    </font>
    <font>
      <sz val="8"/>
      <color theme="7" tint="-0.249977111117893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sz val="8"/>
      <color theme="9" tint="-0.49998474074526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6" fillId="0" borderId="3"/>
    <xf numFmtId="0" fontId="14" fillId="0" borderId="3"/>
  </cellStyleXfs>
  <cellXfs count="472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3" xfId="0" applyNumberFormat="1" applyFont="1" applyFill="1" applyBorder="1"/>
    <xf numFmtId="3" fontId="1" fillId="3" borderId="4" xfId="0" applyNumberFormat="1" applyFont="1" applyFill="1" applyBorder="1" applyAlignment="1">
      <alignment horizontal="center"/>
    </xf>
    <xf numFmtId="0" fontId="1" fillId="3" borderId="3" xfId="0" applyFont="1" applyFill="1" applyBorder="1"/>
    <xf numFmtId="3" fontId="1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/>
    <xf numFmtId="4" fontId="1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3" fontId="11" fillId="5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3" xfId="3" applyFont="1" applyFill="1"/>
    <xf numFmtId="0" fontId="1" fillId="3" borderId="3" xfId="3" applyFont="1" applyFill="1"/>
    <xf numFmtId="0" fontId="1" fillId="3" borderId="3" xfId="3" applyFont="1" applyFill="1" applyBorder="1" applyAlignment="1">
      <alignment vertical="top"/>
    </xf>
    <xf numFmtId="0" fontId="13" fillId="0" borderId="3" xfId="3" applyFont="1" applyFill="1" applyBorder="1" applyAlignment="1">
      <alignment vertical="top"/>
    </xf>
    <xf numFmtId="0" fontId="1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top"/>
    </xf>
    <xf numFmtId="0" fontId="1" fillId="3" borderId="4" xfId="3" applyFont="1" applyFill="1" applyBorder="1" applyAlignment="1">
      <alignment horizontal="left" vertical="top"/>
    </xf>
    <xf numFmtId="3" fontId="4" fillId="3" borderId="4" xfId="3" applyNumberFormat="1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4" fontId="1" fillId="0" borderId="3" xfId="3" applyNumberFormat="1" applyFont="1" applyFill="1"/>
    <xf numFmtId="0" fontId="1" fillId="0" borderId="4" xfId="3" applyFont="1" applyFill="1" applyBorder="1" applyAlignment="1">
      <alignment horizontal="center" wrapText="1"/>
    </xf>
    <xf numFmtId="0" fontId="2" fillId="3" borderId="4" xfId="3" applyFont="1" applyFill="1" applyBorder="1" applyAlignment="1">
      <alignment horizontal="center" vertical="center" wrapText="1"/>
    </xf>
    <xf numFmtId="165" fontId="1" fillId="0" borderId="3" xfId="3" applyNumberFormat="1" applyFont="1" applyFill="1"/>
    <xf numFmtId="0" fontId="2" fillId="0" borderId="4" xfId="3" applyFont="1" applyFill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/>
    </xf>
    <xf numFmtId="0" fontId="1" fillId="3" borderId="4" xfId="3" applyFont="1" applyFill="1" applyBorder="1" applyAlignment="1">
      <alignment horizontal="left" vertical="center"/>
    </xf>
    <xf numFmtId="0" fontId="1" fillId="8" borderId="3" xfId="3" applyFont="1" applyFill="1"/>
    <xf numFmtId="4" fontId="1" fillId="8" borderId="3" xfId="3" applyNumberFormat="1" applyFont="1" applyFill="1"/>
    <xf numFmtId="0" fontId="1" fillId="0" borderId="4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/>
    </xf>
    <xf numFmtId="0" fontId="1" fillId="0" borderId="4" xfId="3" applyFont="1" applyFill="1" applyBorder="1" applyAlignment="1">
      <alignment horizontal="center"/>
    </xf>
    <xf numFmtId="4" fontId="1" fillId="5" borderId="3" xfId="3" applyNumberFormat="1" applyFont="1" applyFill="1"/>
    <xf numFmtId="0" fontId="1" fillId="0" borderId="4" xfId="3" applyFont="1" applyFill="1" applyBorder="1" applyAlignment="1">
      <alignment horizontal="left" vertical="center" wrapText="1"/>
    </xf>
    <xf numFmtId="0" fontId="2" fillId="0" borderId="3" xfId="3" applyFont="1" applyFill="1"/>
    <xf numFmtId="4" fontId="2" fillId="0" borderId="3" xfId="3" applyNumberFormat="1" applyFont="1" applyFill="1"/>
    <xf numFmtId="0" fontId="1" fillId="0" borderId="3" xfId="3" applyFont="1" applyFill="1" applyBorder="1"/>
    <xf numFmtId="0" fontId="1" fillId="3" borderId="3" xfId="3" applyFont="1" applyFill="1" applyBorder="1"/>
    <xf numFmtId="4" fontId="1" fillId="3" borderId="3" xfId="3" applyNumberFormat="1" applyFont="1" applyFill="1" applyBorder="1"/>
    <xf numFmtId="4" fontId="1" fillId="3" borderId="3" xfId="3" applyNumberFormat="1" applyFont="1" applyFill="1"/>
    <xf numFmtId="0" fontId="1" fillId="0" borderId="4" xfId="3" applyFont="1" applyFill="1" applyBorder="1"/>
    <xf numFmtId="0" fontId="1" fillId="3" borderId="4" xfId="3" applyFont="1" applyFill="1" applyBorder="1" applyAlignment="1">
      <alignment horizontal="left" wrapText="1"/>
    </xf>
    <xf numFmtId="0" fontId="1" fillId="3" borderId="4" xfId="3" applyFont="1" applyFill="1" applyBorder="1" applyAlignment="1"/>
    <xf numFmtId="0" fontId="1" fillId="3" borderId="4" xfId="3" applyFont="1" applyFill="1" applyBorder="1"/>
    <xf numFmtId="0" fontId="1" fillId="0" borderId="3" xfId="3" applyFont="1" applyFill="1" applyAlignment="1">
      <alignment horizontal="center" vertical="center"/>
    </xf>
    <xf numFmtId="0" fontId="1" fillId="0" borderId="4" xfId="3" applyFont="1" applyFill="1" applyBorder="1" applyAlignment="1">
      <alignment horizontal="right" vertical="center"/>
    </xf>
    <xf numFmtId="0" fontId="1" fillId="3" borderId="7" xfId="3" applyFont="1" applyFill="1" applyBorder="1" applyAlignment="1">
      <alignment horizontal="center" vertical="center"/>
    </xf>
    <xf numFmtId="0" fontId="1" fillId="3" borderId="3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right"/>
    </xf>
    <xf numFmtId="0" fontId="1" fillId="3" borderId="4" xfId="3" applyFont="1" applyFill="1" applyBorder="1" applyAlignment="1">
      <alignment horizontal="center" wrapText="1"/>
    </xf>
    <xf numFmtId="0" fontId="1" fillId="3" borderId="7" xfId="3" applyFont="1" applyFill="1" applyBorder="1" applyAlignment="1">
      <alignment horizontal="center"/>
    </xf>
    <xf numFmtId="4" fontId="1" fillId="3" borderId="4" xfId="3" applyNumberFormat="1" applyFont="1" applyFill="1" applyBorder="1"/>
    <xf numFmtId="0" fontId="1" fillId="3" borderId="7" xfId="3" applyFont="1" applyFill="1" applyBorder="1"/>
    <xf numFmtId="2" fontId="1" fillId="3" borderId="3" xfId="3" applyNumberFormat="1" applyFont="1" applyFill="1" applyBorder="1"/>
    <xf numFmtId="3" fontId="1" fillId="3" borderId="4" xfId="3" applyNumberFormat="1" applyFont="1" applyFill="1" applyBorder="1"/>
    <xf numFmtId="0" fontId="1" fillId="0" borderId="4" xfId="3" applyFont="1" applyFill="1" applyBorder="1" applyAlignment="1">
      <alignment horizontal="right" vertical="center" wrapText="1"/>
    </xf>
    <xf numFmtId="0" fontId="1" fillId="0" borderId="3" xfId="3" applyFont="1" applyFill="1" applyBorder="1" applyAlignment="1">
      <alignment horizontal="left" vertical="center" wrapText="1"/>
    </xf>
    <xf numFmtId="3" fontId="23" fillId="3" borderId="4" xfId="3" applyNumberFormat="1" applyFont="1" applyFill="1" applyBorder="1"/>
    <xf numFmtId="0" fontId="7" fillId="0" borderId="4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 readingOrder="1"/>
    </xf>
    <xf numFmtId="0" fontId="1" fillId="3" borderId="5" xfId="3" applyFont="1" applyFill="1" applyBorder="1" applyAlignment="1">
      <alignment horizontal="center" vertical="center"/>
    </xf>
    <xf numFmtId="3" fontId="21" fillId="3" borderId="3" xfId="3" applyNumberFormat="1" applyFont="1" applyFill="1" applyBorder="1" applyAlignment="1">
      <alignment horizontal="right"/>
    </xf>
    <xf numFmtId="0" fontId="23" fillId="3" borderId="7" xfId="3" applyFont="1" applyFill="1" applyBorder="1" applyAlignment="1">
      <alignment horizontal="center" vertical="center"/>
    </xf>
    <xf numFmtId="3" fontId="1" fillId="0" borderId="3" xfId="0" applyNumberFormat="1" applyFont="1" applyFill="1" applyBorder="1"/>
    <xf numFmtId="165" fontId="1" fillId="0" borderId="3" xfId="0" applyNumberFormat="1" applyFont="1" applyFill="1" applyBorder="1"/>
    <xf numFmtId="2" fontId="1" fillId="3" borderId="3" xfId="0" applyNumberFormat="1" applyFont="1" applyFill="1" applyBorder="1"/>
    <xf numFmtId="1" fontId="1" fillId="0" borderId="3" xfId="0" applyNumberFormat="1" applyFont="1" applyFill="1" applyBorder="1"/>
    <xf numFmtId="0" fontId="1" fillId="0" borderId="3" xfId="3" applyFont="1" applyFill="1" applyBorder="1" applyAlignment="1">
      <alignment vertical="top"/>
    </xf>
    <xf numFmtId="4" fontId="11" fillId="0" borderId="3" xfId="0" applyNumberFormat="1" applyFont="1" applyFill="1" applyBorder="1" applyAlignment="1"/>
    <xf numFmtId="4" fontId="1" fillId="3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1" fillId="3" borderId="4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/>
    </xf>
    <xf numFmtId="4" fontId="1" fillId="3" borderId="4" xfId="3" applyNumberFormat="1" applyFont="1" applyFill="1" applyBorder="1" applyAlignment="1">
      <alignment horizontal="center" vertical="center"/>
    </xf>
    <xf numFmtId="3" fontId="20" fillId="3" borderId="4" xfId="3" applyNumberFormat="1" applyFont="1" applyFill="1" applyBorder="1" applyAlignment="1">
      <alignment horizontal="center" vertical="center"/>
    </xf>
    <xf numFmtId="4" fontId="2" fillId="3" borderId="4" xfId="3" applyNumberFormat="1" applyFont="1" applyFill="1" applyBorder="1" applyAlignment="1">
      <alignment horizontal="center" vertical="center"/>
    </xf>
    <xf numFmtId="3" fontId="1" fillId="3" borderId="4" xfId="3" applyNumberFormat="1" applyFont="1" applyFill="1" applyBorder="1" applyAlignment="1">
      <alignment horizontal="center" vertical="center"/>
    </xf>
    <xf numFmtId="4" fontId="8" fillId="3" borderId="4" xfId="3" applyNumberFormat="1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3" fontId="2" fillId="3" borderId="4" xfId="3" applyNumberFormat="1" applyFont="1" applyFill="1" applyBorder="1" applyAlignment="1">
      <alignment horizontal="center" vertical="center"/>
    </xf>
    <xf numFmtId="3" fontId="17" fillId="3" borderId="4" xfId="3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3" borderId="3" xfId="3" applyFont="1" applyFill="1" applyAlignment="1">
      <alignment horizontal="center" vertical="center"/>
    </xf>
    <xf numFmtId="164" fontId="1" fillId="3" borderId="4" xfId="3" applyNumberFormat="1" applyFont="1" applyFill="1" applyBorder="1" applyAlignment="1">
      <alignment horizontal="center" vertical="center"/>
    </xf>
    <xf numFmtId="0" fontId="27" fillId="3" borderId="4" xfId="3" applyFont="1" applyFill="1" applyBorder="1" applyAlignment="1">
      <alignment horizontal="center" vertical="center" wrapText="1"/>
    </xf>
    <xf numFmtId="4" fontId="1" fillId="0" borderId="4" xfId="3" applyNumberFormat="1" applyFont="1" applyFill="1" applyBorder="1" applyAlignment="1">
      <alignment horizontal="center" vertical="center"/>
    </xf>
    <xf numFmtId="3" fontId="20" fillId="0" borderId="4" xfId="3" applyNumberFormat="1" applyFont="1" applyFill="1" applyBorder="1" applyAlignment="1">
      <alignment horizontal="center" vertical="center"/>
    </xf>
    <xf numFmtId="4" fontId="2" fillId="0" borderId="4" xfId="3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/>
    <xf numFmtId="0" fontId="1" fillId="0" borderId="7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4" fontId="1" fillId="0" borderId="4" xfId="3" applyNumberFormat="1" applyFont="1" applyFill="1" applyBorder="1"/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4" xfId="0" applyFont="1" applyFill="1" applyBorder="1"/>
    <xf numFmtId="3" fontId="2" fillId="0" borderId="4" xfId="0" applyNumberFormat="1" applyFont="1" applyFill="1" applyBorder="1" applyAlignment="1"/>
    <xf numFmtId="4" fontId="16" fillId="0" borderId="3" xfId="0" applyNumberFormat="1" applyFont="1" applyFill="1" applyBorder="1"/>
    <xf numFmtId="172" fontId="16" fillId="0" borderId="3" xfId="0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" xfId="0" applyNumberFormat="1" applyFont="1" applyFill="1" applyBorder="1" applyAlignment="1">
      <alignment horizontal="center" vertical="center"/>
    </xf>
    <xf numFmtId="169" fontId="1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vertical="center"/>
    </xf>
    <xf numFmtId="173" fontId="16" fillId="0" borderId="3" xfId="0" applyNumberFormat="1" applyFont="1" applyFill="1" applyBorder="1" applyAlignment="1">
      <alignment vertical="center"/>
    </xf>
    <xf numFmtId="4" fontId="28" fillId="5" borderId="3" xfId="0" applyNumberFormat="1" applyFont="1" applyFill="1" applyBorder="1" applyAlignment="1">
      <alignment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5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/>
    <xf numFmtId="0" fontId="1" fillId="0" borderId="10" xfId="0" applyFont="1" applyFill="1" applyBorder="1"/>
    <xf numFmtId="0" fontId="2" fillId="0" borderId="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8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center"/>
    </xf>
    <xf numFmtId="0" fontId="1" fillId="3" borderId="8" xfId="3" applyFont="1" applyFill="1" applyBorder="1" applyAlignment="1">
      <alignment horizontal="center"/>
    </xf>
    <xf numFmtId="0" fontId="1" fillId="3" borderId="10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top"/>
    </xf>
    <xf numFmtId="0" fontId="2" fillId="3" borderId="8" xfId="3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6" fillId="3" borderId="9" xfId="3" applyFont="1" applyFill="1" applyBorder="1"/>
    <xf numFmtId="0" fontId="26" fillId="3" borderId="10" xfId="3" applyFont="1" applyFill="1" applyBorder="1"/>
    <xf numFmtId="0" fontId="2" fillId="3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1" fillId="3" borderId="4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4" fillId="0" borderId="7" xfId="3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vertical="center"/>
    </xf>
    <xf numFmtId="174" fontId="29" fillId="0" borderId="4" xfId="0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175" fontId="31" fillId="0" borderId="4" xfId="0" applyNumberFormat="1" applyFont="1" applyFill="1" applyBorder="1" applyAlignment="1">
      <alignment horizontal="center" vertical="center"/>
    </xf>
    <xf numFmtId="4" fontId="31" fillId="0" borderId="5" xfId="0" applyNumberFormat="1" applyFont="1" applyFill="1" applyBorder="1" applyAlignment="1">
      <alignment horizontal="center" vertical="center"/>
    </xf>
    <xf numFmtId="176" fontId="32" fillId="0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/>
    </xf>
    <xf numFmtId="176" fontId="30" fillId="0" borderId="5" xfId="0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vertical="center"/>
    </xf>
    <xf numFmtId="0" fontId="16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3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right" vertical="center" wrapText="1"/>
    </xf>
    <xf numFmtId="4" fontId="30" fillId="0" borderId="3" xfId="0" applyNumberFormat="1" applyFont="1" applyFill="1" applyBorder="1" applyAlignment="1">
      <alignment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0" fillId="0" borderId="3" xfId="0" applyNumberFormat="1" applyFont="1" applyFill="1" applyBorder="1" applyAlignment="1">
      <alignment horizontal="center" vertical="center"/>
    </xf>
    <xf numFmtId="179" fontId="30" fillId="0" borderId="3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172" fontId="30" fillId="0" borderId="3" xfId="0" applyNumberFormat="1" applyFont="1" applyFill="1" applyBorder="1" applyAlignment="1">
      <alignment horizontal="center" vertical="center"/>
    </xf>
    <xf numFmtId="170" fontId="32" fillId="0" borderId="3" xfId="0" applyNumberFormat="1" applyFont="1" applyFill="1" applyBorder="1" applyAlignment="1">
      <alignment horizontal="center" vertical="center"/>
    </xf>
    <xf numFmtId="178" fontId="32" fillId="0" borderId="3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4" fontId="25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4" fillId="5" borderId="4" xfId="0" applyNumberFormat="1" applyFont="1" applyFill="1" applyBorder="1" applyAlignment="1">
      <alignment vertical="center" wrapText="1"/>
    </xf>
    <xf numFmtId="4" fontId="25" fillId="3" borderId="4" xfId="0" applyNumberFormat="1" applyFont="1" applyFill="1" applyBorder="1" applyAlignment="1">
      <alignment horizontal="center" vertical="center" wrapText="1"/>
    </xf>
    <xf numFmtId="4" fontId="38" fillId="0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4" fontId="28" fillId="9" borderId="3" xfId="0" applyNumberFormat="1" applyFont="1" applyFill="1" applyBorder="1" applyAlignment="1">
      <alignment vertical="center"/>
    </xf>
    <xf numFmtId="4" fontId="37" fillId="0" borderId="3" xfId="0" applyNumberFormat="1" applyFont="1" applyFill="1" applyBorder="1" applyAlignment="1">
      <alignment vertical="center"/>
    </xf>
    <xf numFmtId="4" fontId="40" fillId="0" borderId="3" xfId="0" applyNumberFormat="1" applyFont="1" applyFill="1" applyBorder="1"/>
    <xf numFmtId="171" fontId="39" fillId="0" borderId="3" xfId="0" applyNumberFormat="1" applyFont="1" applyFill="1" applyBorder="1" applyAlignment="1">
      <alignment horizontal="center" vertical="center"/>
    </xf>
    <xf numFmtId="171" fontId="28" fillId="5" borderId="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4" fontId="28" fillId="10" borderId="3" xfId="0" applyNumberFormat="1" applyFont="1" applyFill="1" applyBorder="1" applyAlignment="1">
      <alignment horizontal="center" vertical="center"/>
    </xf>
    <xf numFmtId="179" fontId="16" fillId="6" borderId="3" xfId="0" applyNumberFormat="1" applyFont="1" applyFill="1" applyBorder="1"/>
    <xf numFmtId="3" fontId="25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45" t="s">
        <v>1</v>
      </c>
      <c r="B3" s="345"/>
      <c r="C3" s="346"/>
      <c r="D3" s="345"/>
      <c r="E3" s="345"/>
      <c r="F3" s="345"/>
      <c r="G3" s="345"/>
      <c r="H3" s="345"/>
      <c r="I3" s="346"/>
      <c r="J3" s="345"/>
      <c r="K3" s="345"/>
      <c r="L3" s="345"/>
      <c r="M3" s="345"/>
      <c r="N3" s="346"/>
      <c r="O3" s="345"/>
      <c r="P3" s="345"/>
      <c r="Q3" s="345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52" t="s">
        <v>5</v>
      </c>
      <c r="F6" s="352"/>
      <c r="G6" s="352"/>
      <c r="H6" s="343" t="s">
        <v>6</v>
      </c>
      <c r="I6" s="343"/>
      <c r="J6" s="343"/>
      <c r="K6" s="343"/>
      <c r="L6" s="343" t="s">
        <v>7</v>
      </c>
      <c r="M6" s="343"/>
      <c r="N6" s="343"/>
      <c r="O6" s="343"/>
      <c r="P6" s="343"/>
      <c r="Q6" s="343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44" t="s">
        <v>8</v>
      </c>
      <c r="M7" s="344"/>
      <c r="N7" s="344"/>
      <c r="O7" s="344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341" t="s">
        <v>154</v>
      </c>
      <c r="B96" s="341"/>
      <c r="C96" s="341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47" t="s">
        <v>3</v>
      </c>
      <c r="B97" s="347" t="s">
        <v>86</v>
      </c>
      <c r="C97" s="7" t="s">
        <v>87</v>
      </c>
      <c r="D97" s="347" t="s">
        <v>4</v>
      </c>
      <c r="E97" s="347" t="s">
        <v>5</v>
      </c>
      <c r="F97" s="347"/>
      <c r="G97" s="347"/>
      <c r="H97" s="347" t="s">
        <v>6</v>
      </c>
      <c r="I97" s="347"/>
      <c r="J97" s="347"/>
      <c r="K97" s="347"/>
      <c r="L97" s="347" t="s">
        <v>7</v>
      </c>
      <c r="M97" s="347"/>
      <c r="N97" s="347"/>
      <c r="O97" s="347"/>
      <c r="P97" s="347"/>
      <c r="Q97" s="347"/>
    </row>
    <row r="98" spans="1:17" ht="110.4">
      <c r="A98" s="347"/>
      <c r="B98" s="347"/>
      <c r="C98" s="7"/>
      <c r="D98" s="347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342" t="s">
        <v>98</v>
      </c>
      <c r="B100" s="339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342"/>
      <c r="B101" s="339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342"/>
      <c r="B102" s="339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342"/>
      <c r="B103" s="339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342"/>
      <c r="B104" s="339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342"/>
      <c r="B105" s="339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342"/>
      <c r="B106" s="339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342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342"/>
      <c r="B108" s="339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342"/>
      <c r="B109" s="339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342"/>
      <c r="B110" s="339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342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342"/>
      <c r="B112" s="340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342"/>
      <c r="B113" s="340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342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342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342" t="s">
        <v>113</v>
      </c>
      <c r="B116" s="339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342"/>
      <c r="B117" s="339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342"/>
      <c r="B118" s="339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342"/>
      <c r="B119" s="339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342"/>
      <c r="B120" s="339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342"/>
      <c r="B121" s="339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342"/>
      <c r="B122" s="339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342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342"/>
      <c r="B124" s="339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342"/>
      <c r="B125" s="339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342"/>
      <c r="B126" s="339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342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342"/>
      <c r="B128" s="340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342"/>
      <c r="B129" s="340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342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342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342" t="s">
        <v>114</v>
      </c>
      <c r="B132" s="339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342"/>
      <c r="B133" s="339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342"/>
      <c r="B134" s="339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342"/>
      <c r="B135" s="339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342"/>
      <c r="B136" s="339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342"/>
      <c r="B137" s="339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342"/>
      <c r="B138" s="339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342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342"/>
      <c r="B140" s="339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342"/>
      <c r="B141" s="339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342"/>
      <c r="B142" s="339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342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342"/>
      <c r="B144" s="340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342"/>
      <c r="B145" s="340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342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342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342" t="s">
        <v>115</v>
      </c>
      <c r="B148" s="339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342"/>
      <c r="B149" s="339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342"/>
      <c r="B150" s="339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342"/>
      <c r="B151" s="339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342"/>
      <c r="B152" s="339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342"/>
      <c r="B153" s="339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342"/>
      <c r="B154" s="339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342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342"/>
      <c r="B156" s="339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342"/>
      <c r="B157" s="339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342"/>
      <c r="B158" s="339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342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342"/>
      <c r="B160" s="340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342"/>
      <c r="B161" s="340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342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342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342" t="s">
        <v>116</v>
      </c>
      <c r="B164" s="339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342"/>
      <c r="B165" s="339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342"/>
      <c r="B166" s="339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342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342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342"/>
      <c r="B169" s="339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342"/>
      <c r="B170" s="339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342"/>
      <c r="B171" s="339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342"/>
      <c r="B172" s="339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342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342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342"/>
      <c r="B175" s="339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342"/>
      <c r="B176" s="339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342"/>
      <c r="B177" s="339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342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342"/>
      <c r="B179" s="340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342"/>
      <c r="B180" s="340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342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342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342" t="s">
        <v>119</v>
      </c>
      <c r="B183" s="339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07">
      <c r="A184" s="342"/>
      <c r="B184" s="339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342"/>
      <c r="B185" s="339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342"/>
      <c r="B186" s="339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342"/>
      <c r="B187" s="339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342"/>
      <c r="B188" s="339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342"/>
      <c r="B189" s="339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342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342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342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342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342"/>
      <c r="B194" s="340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342"/>
      <c r="B195" s="340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342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342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50" t="s">
        <v>5</v>
      </c>
      <c r="E199" s="350"/>
      <c r="F199" s="350"/>
      <c r="G199" s="351" t="s">
        <v>6</v>
      </c>
      <c r="H199" s="351" t="s">
        <v>7</v>
      </c>
      <c r="I199" s="351"/>
      <c r="J199" s="351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51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348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349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61" t="s">
        <v>207</v>
      </c>
      <c r="B5" s="361"/>
      <c r="C5" s="362"/>
      <c r="D5" s="361"/>
      <c r="E5" s="361"/>
      <c r="F5" s="362"/>
      <c r="G5" s="362"/>
      <c r="H5" s="361"/>
      <c r="I5" s="361"/>
      <c r="J5" s="361"/>
      <c r="K5" s="362"/>
      <c r="L5" s="361"/>
      <c r="M5" s="361"/>
      <c r="N5" s="361"/>
      <c r="O5" s="361"/>
      <c r="P5" s="362"/>
      <c r="Q5" s="362"/>
      <c r="R5" s="362"/>
      <c r="S5" s="362"/>
      <c r="T5" s="361"/>
      <c r="U5" s="361"/>
      <c r="V5" s="361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63" t="s">
        <v>6</v>
      </c>
      <c r="K8" s="364"/>
      <c r="L8" s="364"/>
      <c r="M8" s="365"/>
      <c r="N8" s="354" t="s">
        <v>7</v>
      </c>
      <c r="O8" s="354"/>
      <c r="P8" s="354"/>
      <c r="Q8" s="354"/>
      <c r="R8" s="354"/>
      <c r="S8" s="354"/>
      <c r="T8" s="354"/>
      <c r="U8" s="354"/>
      <c r="V8" s="354"/>
    </row>
    <row r="9" spans="1:24">
      <c r="A9" s="109"/>
      <c r="B9" s="109"/>
      <c r="C9" s="109"/>
      <c r="D9" s="109"/>
      <c r="E9" s="368"/>
      <c r="F9" s="369"/>
      <c r="G9" s="370"/>
      <c r="H9" s="108"/>
      <c r="I9" s="108"/>
      <c r="J9" s="142"/>
      <c r="K9" s="142"/>
      <c r="L9" s="142"/>
      <c r="M9" s="142"/>
      <c r="N9" s="363"/>
      <c r="O9" s="373"/>
      <c r="P9" s="373"/>
      <c r="Q9" s="373"/>
      <c r="R9" s="373"/>
      <c r="S9" s="373"/>
      <c r="T9" s="374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66" t="s">
        <v>176</v>
      </c>
      <c r="O10" s="366"/>
      <c r="P10" s="366"/>
      <c r="Q10" s="366"/>
      <c r="R10" s="366"/>
      <c r="S10" s="366"/>
      <c r="T10" s="366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375" t="s">
        <v>78</v>
      </c>
      <c r="D68" s="377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376"/>
      <c r="D69" s="378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67" t="s">
        <v>154</v>
      </c>
      <c r="B104" s="367"/>
      <c r="C104" s="367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71" t="s">
        <v>3</v>
      </c>
      <c r="B105" s="371" t="s">
        <v>86</v>
      </c>
      <c r="C105" s="114" t="s">
        <v>87</v>
      </c>
      <c r="D105" s="371" t="s">
        <v>4</v>
      </c>
      <c r="E105" s="372" t="s">
        <v>5</v>
      </c>
      <c r="F105" s="372"/>
      <c r="G105" s="372"/>
      <c r="H105" s="372"/>
      <c r="I105" s="372"/>
      <c r="J105" s="360" t="s">
        <v>6</v>
      </c>
      <c r="K105" s="360"/>
      <c r="L105" s="360"/>
      <c r="M105" s="360"/>
      <c r="N105" s="360" t="s">
        <v>7</v>
      </c>
      <c r="O105" s="360"/>
      <c r="P105" s="360"/>
      <c r="Q105" s="360"/>
      <c r="R105" s="360"/>
      <c r="S105" s="360"/>
      <c r="T105" s="360"/>
      <c r="U105" s="360"/>
      <c r="V105" s="360"/>
    </row>
    <row r="106" spans="1:22" ht="110.4">
      <c r="A106" s="371"/>
      <c r="B106" s="371"/>
      <c r="C106" s="114"/>
      <c r="D106" s="371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55" t="s">
        <v>98</v>
      </c>
      <c r="B108" s="357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55"/>
      <c r="B109" s="358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55"/>
      <c r="B110" s="358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55"/>
      <c r="B111" s="358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55"/>
      <c r="B112" s="358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355"/>
      <c r="B113" s="358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355"/>
      <c r="B114" s="358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355"/>
      <c r="B115" s="358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355"/>
      <c r="B116" s="358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355"/>
      <c r="B117" s="358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355"/>
      <c r="B118" s="358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355"/>
      <c r="B119" s="359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55"/>
      <c r="B120" s="356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355"/>
      <c r="B121" s="356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55"/>
      <c r="B122" s="356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55"/>
      <c r="B123" s="356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355"/>
      <c r="B124" s="356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355"/>
      <c r="B125" s="356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55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355"/>
      <c r="B127" s="356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355"/>
      <c r="B128" s="356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55"/>
      <c r="B129" s="356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355"/>
      <c r="B130" s="356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355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355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355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355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55" t="s">
        <v>113</v>
      </c>
      <c r="B135" s="356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355"/>
      <c r="B136" s="356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55"/>
      <c r="B137" s="356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355"/>
      <c r="B138" s="356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355"/>
      <c r="B139" s="356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355"/>
      <c r="B140" s="356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355"/>
      <c r="B141" s="356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355"/>
      <c r="B142" s="356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355"/>
      <c r="B143" s="356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55"/>
      <c r="B144" s="356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355"/>
      <c r="B145" s="356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55"/>
      <c r="B146" s="356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355"/>
      <c r="B147" s="356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355"/>
      <c r="B148" s="356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355"/>
      <c r="B149" s="356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355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355"/>
      <c r="B151" s="356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355"/>
      <c r="B152" s="356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55"/>
      <c r="B153" s="356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55"/>
      <c r="B154" s="356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55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55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355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355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55" t="s">
        <v>114</v>
      </c>
      <c r="B159" s="356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355"/>
      <c r="B160" s="356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55"/>
      <c r="B161" s="356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55"/>
      <c r="B162" s="356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55"/>
      <c r="B163" s="356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355"/>
      <c r="B164" s="356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355"/>
      <c r="B165" s="356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355"/>
      <c r="B166" s="356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355"/>
      <c r="B167" s="356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355"/>
      <c r="B168" s="356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355"/>
      <c r="B169" s="356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55"/>
      <c r="B170" s="356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55"/>
      <c r="B171" s="356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355"/>
      <c r="B172" s="356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355"/>
      <c r="B173" s="356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355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355"/>
      <c r="B175" s="356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355"/>
      <c r="B176" s="356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55"/>
      <c r="B177" s="356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55"/>
      <c r="B178" s="356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55"/>
      <c r="B179" s="356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355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355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355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355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55" t="s">
        <v>115</v>
      </c>
      <c r="B184" s="356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355"/>
      <c r="B185" s="356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55"/>
      <c r="B186" s="356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355"/>
      <c r="B187" s="356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355"/>
      <c r="B188" s="356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355"/>
      <c r="B189" s="356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355"/>
      <c r="B190" s="356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355"/>
      <c r="B191" s="356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355"/>
      <c r="B192" s="356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355"/>
      <c r="B193" s="356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355"/>
      <c r="B194" s="356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355"/>
      <c r="B195" s="356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355"/>
      <c r="B196" s="356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55"/>
      <c r="B197" s="356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355"/>
      <c r="B198" s="356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355"/>
      <c r="B199" s="356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355"/>
      <c r="B200" s="356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355"/>
      <c r="B201" s="356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355"/>
      <c r="B202" s="356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355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355"/>
      <c r="B204" s="356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355"/>
      <c r="B205" s="356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55"/>
      <c r="B206" s="356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55"/>
      <c r="B207" s="356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355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355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355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355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55" t="s">
        <v>116</v>
      </c>
      <c r="B212" s="357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355"/>
      <c r="B213" s="358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55"/>
      <c r="B214" s="358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355"/>
      <c r="B215" s="358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355"/>
      <c r="B216" s="358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355"/>
      <c r="B217" s="358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355"/>
      <c r="B218" s="358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355"/>
      <c r="B219" s="358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355"/>
      <c r="B220" s="358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355"/>
      <c r="B221" s="358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355"/>
      <c r="B222" s="359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355"/>
      <c r="B223" s="357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355"/>
      <c r="B224" s="358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355"/>
      <c r="B225" s="358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55"/>
      <c r="B226" s="358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55"/>
      <c r="B227" s="358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55"/>
      <c r="B228" s="358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55"/>
      <c r="B229" s="358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355"/>
      <c r="B230" s="358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355"/>
      <c r="B231" s="359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355"/>
      <c r="B232" s="357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355"/>
      <c r="B233" s="358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355"/>
      <c r="B234" s="358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55"/>
      <c r="B235" s="358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55"/>
      <c r="B236" s="358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355"/>
      <c r="B237" s="359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355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355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355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355" t="s">
        <v>119</v>
      </c>
      <c r="B241" s="356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55"/>
      <c r="B242" s="356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55"/>
      <c r="B243" s="356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55"/>
      <c r="B244" s="356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55"/>
      <c r="B245" s="356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55"/>
      <c r="B246" s="356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07">
      <c r="A247" s="355"/>
      <c r="B247" s="356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07">
      <c r="A248" s="355"/>
      <c r="B248" s="356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55"/>
      <c r="B249" s="356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55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55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55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55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55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355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55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55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55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55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355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355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355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53" t="s">
        <v>5</v>
      </c>
      <c r="E264" s="353"/>
      <c r="F264" s="353"/>
      <c r="G264" s="353"/>
      <c r="H264" s="353"/>
      <c r="I264" s="354" t="s">
        <v>6</v>
      </c>
      <c r="J264" s="354" t="s">
        <v>7</v>
      </c>
      <c r="K264" s="354"/>
      <c r="L264" s="354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54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5"/>
  <sheetViews>
    <sheetView zoomScale="70" zoomScaleNormal="70" workbookViewId="0">
      <pane xSplit="4" ySplit="11" topLeftCell="I29" activePane="bottomRight" state="frozen"/>
      <selection pane="topRight" activeCell="E1" sqref="E1"/>
      <selection pane="bottomLeft" activeCell="A12" sqref="A12"/>
      <selection pane="bottomRight" activeCell="P46" sqref="P46"/>
    </sheetView>
  </sheetViews>
  <sheetFormatPr defaultColWidth="9.109375" defaultRowHeight="13.8"/>
  <cols>
    <col min="1" max="1" width="19.44140625" style="182" customWidth="1"/>
    <col min="2" max="2" width="28.6640625" style="182" customWidth="1"/>
    <col min="3" max="3" width="24.5546875" style="182" customWidth="1"/>
    <col min="4" max="4" width="8.6640625" style="182" customWidth="1"/>
    <col min="5" max="5" width="18.33203125" style="189" customWidth="1"/>
    <col min="6" max="6" width="13.33203125" style="189" customWidth="1"/>
    <col min="7" max="7" width="11.6640625" style="189" bestFit="1" customWidth="1"/>
    <col min="8" max="8" width="12.88671875" style="182" bestFit="1" customWidth="1"/>
    <col min="9" max="9" width="12.109375" style="182" bestFit="1" customWidth="1"/>
    <col min="10" max="10" width="17.33203125" style="182" customWidth="1"/>
    <col min="11" max="11" width="16" style="189" customWidth="1"/>
    <col min="12" max="12" width="13.88671875" style="189" customWidth="1"/>
    <col min="13" max="13" width="13.5546875" style="182" customWidth="1"/>
    <col min="14" max="14" width="16.6640625" style="182" customWidth="1"/>
    <col min="15" max="15" width="22.109375" style="182" customWidth="1"/>
    <col min="16" max="16" width="14.6640625" style="182" customWidth="1"/>
    <col min="17" max="17" width="21.88671875" style="182" hidden="1" customWidth="1"/>
    <col min="18" max="18" width="18.109375" style="182" customWidth="1"/>
    <col min="19" max="19" width="18.5546875" style="189" hidden="1" customWidth="1"/>
    <col min="20" max="20" width="18.6640625" style="189" customWidth="1"/>
    <col min="21" max="21" width="19" style="189" customWidth="1"/>
    <col min="22" max="22" width="15.33203125" style="182" hidden="1" customWidth="1"/>
    <col min="23" max="23" width="20.33203125" style="182" hidden="1" customWidth="1"/>
    <col min="24" max="24" width="22" style="182" hidden="1" customWidth="1"/>
    <col min="25" max="25" width="18" style="182" hidden="1" customWidth="1"/>
    <col min="26" max="26" width="18.44140625" style="182" hidden="1" customWidth="1"/>
    <col min="27" max="27" width="15" style="182" customWidth="1"/>
    <col min="28" max="29" width="9.109375" style="182" customWidth="1"/>
    <col min="30" max="16384" width="9.109375" style="182"/>
  </cols>
  <sheetData>
    <row r="1" spans="1:21">
      <c r="T1" s="186" t="s">
        <v>175</v>
      </c>
    </row>
    <row r="2" spans="1:21" ht="13.95" hidden="1" customHeight="1">
      <c r="T2" s="186" t="s">
        <v>336</v>
      </c>
    </row>
    <row r="3" spans="1:21" ht="13.95" hidden="1" customHeight="1">
      <c r="R3" s="117"/>
      <c r="S3" s="186"/>
      <c r="T3" s="186" t="s">
        <v>175</v>
      </c>
    </row>
    <row r="4" spans="1:21">
      <c r="R4" s="117"/>
      <c r="S4" s="186"/>
      <c r="T4" s="186" t="s">
        <v>361</v>
      </c>
    </row>
    <row r="5" spans="1:21" ht="13.95" hidden="1" customHeight="1">
      <c r="R5" s="117" t="s">
        <v>175</v>
      </c>
      <c r="S5" s="186"/>
    </row>
    <row r="6" spans="1:21" ht="13.95" hidden="1" customHeight="1">
      <c r="R6" s="117" t="s">
        <v>189</v>
      </c>
      <c r="S6" s="186"/>
    </row>
    <row r="7" spans="1:21">
      <c r="A7" s="362" t="s">
        <v>333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</row>
    <row r="8" spans="1:21">
      <c r="A8" s="367" t="s">
        <v>154</v>
      </c>
      <c r="B8" s="367"/>
      <c r="C8" s="367"/>
      <c r="D8" s="86"/>
      <c r="E8" s="188"/>
      <c r="F8" s="188"/>
      <c r="G8" s="188"/>
      <c r="H8" s="87"/>
      <c r="I8" s="87"/>
      <c r="J8" s="75"/>
      <c r="K8" s="46"/>
      <c r="L8" s="46"/>
      <c r="M8" s="75"/>
      <c r="N8" s="75"/>
      <c r="O8" s="75"/>
      <c r="P8" s="75"/>
      <c r="Q8" s="75"/>
      <c r="R8" s="75"/>
      <c r="S8" s="46"/>
      <c r="T8" s="46"/>
      <c r="U8" s="46"/>
    </row>
    <row r="9" spans="1:21" ht="27.6" customHeight="1">
      <c r="A9" s="371" t="s">
        <v>3</v>
      </c>
      <c r="B9" s="371" t="s">
        <v>86</v>
      </c>
      <c r="C9" s="276" t="s">
        <v>87</v>
      </c>
      <c r="D9" s="371" t="s">
        <v>4</v>
      </c>
      <c r="E9" s="372" t="s">
        <v>5</v>
      </c>
      <c r="F9" s="372"/>
      <c r="G9" s="372"/>
      <c r="H9" s="372"/>
      <c r="I9" s="372"/>
      <c r="J9" s="360" t="s">
        <v>6</v>
      </c>
      <c r="K9" s="360"/>
      <c r="L9" s="360"/>
      <c r="M9" s="360"/>
      <c r="N9" s="379" t="s">
        <v>7</v>
      </c>
      <c r="O9" s="379"/>
      <c r="P9" s="379"/>
      <c r="Q9" s="379"/>
      <c r="R9" s="379"/>
      <c r="S9" s="379"/>
      <c r="T9" s="379"/>
      <c r="U9" s="379"/>
    </row>
    <row r="10" spans="1:21" ht="110.4">
      <c r="A10" s="371"/>
      <c r="B10" s="371"/>
      <c r="C10" s="276"/>
      <c r="D10" s="371"/>
      <c r="E10" s="288" t="s">
        <v>339</v>
      </c>
      <c r="F10" s="288" t="s">
        <v>342</v>
      </c>
      <c r="G10" s="288" t="s">
        <v>334</v>
      </c>
      <c r="H10" s="289" t="s">
        <v>260</v>
      </c>
      <c r="I10" s="289" t="s">
        <v>335</v>
      </c>
      <c r="J10" s="290" t="s">
        <v>88</v>
      </c>
      <c r="K10" s="291" t="s">
        <v>89</v>
      </c>
      <c r="L10" s="291" t="s">
        <v>90</v>
      </c>
      <c r="M10" s="290" t="s">
        <v>294</v>
      </c>
      <c r="N10" s="290" t="s">
        <v>337</v>
      </c>
      <c r="O10" s="290" t="s">
        <v>93</v>
      </c>
      <c r="P10" s="290" t="s">
        <v>94</v>
      </c>
      <c r="Q10" s="290" t="s">
        <v>222</v>
      </c>
      <c r="R10" s="290" t="s">
        <v>95</v>
      </c>
      <c r="S10" s="291" t="s">
        <v>223</v>
      </c>
      <c r="T10" s="291" t="s">
        <v>261</v>
      </c>
      <c r="U10" s="291" t="s">
        <v>338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92" t="s">
        <v>16</v>
      </c>
      <c r="F11" s="292" t="s">
        <v>16</v>
      </c>
      <c r="G11" s="292"/>
      <c r="H11" s="293" t="s">
        <v>16</v>
      </c>
      <c r="I11" s="293" t="s">
        <v>16</v>
      </c>
      <c r="J11" s="290" t="s">
        <v>17</v>
      </c>
      <c r="K11" s="291" t="s">
        <v>17</v>
      </c>
      <c r="L11" s="291" t="s">
        <v>17</v>
      </c>
      <c r="M11" s="290" t="s">
        <v>17</v>
      </c>
      <c r="N11" s="290" t="s">
        <v>17</v>
      </c>
      <c r="O11" s="290" t="s">
        <v>17</v>
      </c>
      <c r="P11" s="290" t="s">
        <v>17</v>
      </c>
      <c r="Q11" s="290"/>
      <c r="R11" s="290" t="s">
        <v>17</v>
      </c>
      <c r="S11" s="291"/>
      <c r="T11" s="291" t="s">
        <v>17</v>
      </c>
      <c r="U11" s="291" t="s">
        <v>17</v>
      </c>
    </row>
    <row r="12" spans="1:21" ht="82.95" customHeight="1">
      <c r="A12" s="355" t="s">
        <v>98</v>
      </c>
      <c r="B12" s="357" t="s">
        <v>237</v>
      </c>
      <c r="C12" s="61" t="s">
        <v>100</v>
      </c>
      <c r="D12" s="62" t="s">
        <v>101</v>
      </c>
      <c r="E12" s="123">
        <f>309+1</f>
        <v>310</v>
      </c>
      <c r="F12" s="123">
        <f>309+1</f>
        <v>310</v>
      </c>
      <c r="G12" s="123">
        <f>((E12*8)+(F12*4))/12</f>
        <v>310</v>
      </c>
      <c r="H12" s="59">
        <v>310</v>
      </c>
      <c r="I12" s="59">
        <v>310</v>
      </c>
      <c r="J12" s="107">
        <f>SUM(K12:M12)</f>
        <v>42926.31</v>
      </c>
      <c r="K12" s="221">
        <f>23258.45+1351.63</f>
        <v>24610.080000000002</v>
      </c>
      <c r="L12" s="212">
        <f>4001.99</f>
        <v>4001.99</v>
      </c>
      <c r="M12" s="70">
        <v>14314.24</v>
      </c>
      <c r="N12" s="71">
        <f>SUM(O12:R12)</f>
        <v>13307218.800000001</v>
      </c>
      <c r="O12" s="71">
        <f>G12*K12</f>
        <v>7629124.8000000007</v>
      </c>
      <c r="P12" s="71">
        <f>G12*L12</f>
        <v>1240616.8999999999</v>
      </c>
      <c r="Q12" s="71"/>
      <c r="R12" s="75">
        <f>G12*M12+0.47+62.23</f>
        <v>4437477.1000000006</v>
      </c>
      <c r="S12" s="46"/>
      <c r="T12" s="46">
        <f>N12</f>
        <v>13307218.800000001</v>
      </c>
      <c r="U12" s="46">
        <f>T12</f>
        <v>13307218.800000001</v>
      </c>
    </row>
    <row r="13" spans="1:21" ht="82.8">
      <c r="A13" s="355"/>
      <c r="B13" s="358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84" t="s">
        <v>104</v>
      </c>
      <c r="M13" s="72" t="s">
        <v>104</v>
      </c>
      <c r="N13" s="334"/>
      <c r="O13" s="71"/>
      <c r="P13" s="72" t="s">
        <v>104</v>
      </c>
      <c r="Q13" s="72"/>
      <c r="R13" s="72" t="s">
        <v>104</v>
      </c>
      <c r="S13" s="184"/>
      <c r="T13" s="207"/>
      <c r="U13" s="207"/>
    </row>
    <row r="14" spans="1:21">
      <c r="A14" s="355"/>
      <c r="B14" s="358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25714.959999999999</v>
      </c>
      <c r="K14" s="46">
        <v>25714.959999999999</v>
      </c>
      <c r="L14" s="184" t="s">
        <v>104</v>
      </c>
      <c r="M14" s="72" t="s">
        <v>104</v>
      </c>
      <c r="N14" s="334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184"/>
      <c r="T14" s="207">
        <f>H14*K14</f>
        <v>0</v>
      </c>
      <c r="U14" s="207">
        <f>I14*K14</f>
        <v>0</v>
      </c>
    </row>
    <row r="15" spans="1:21">
      <c r="A15" s="355"/>
      <c r="B15" s="358"/>
      <c r="C15" s="63" t="s">
        <v>169</v>
      </c>
      <c r="D15" s="64"/>
      <c r="E15" s="123">
        <v>10</v>
      </c>
      <c r="F15" s="123">
        <v>10</v>
      </c>
      <c r="G15" s="123">
        <f t="shared" ref="G15:G31" si="0">((E15*8)+(F15*4))/12</f>
        <v>10</v>
      </c>
      <c r="H15" s="59">
        <v>10</v>
      </c>
      <c r="I15" s="59">
        <v>10</v>
      </c>
      <c r="J15" s="71">
        <f>K15</f>
        <v>69482.740000000005</v>
      </c>
      <c r="K15" s="206">
        <v>69482.740000000005</v>
      </c>
      <c r="L15" s="184" t="s">
        <v>104</v>
      </c>
      <c r="M15" s="72" t="s">
        <v>104</v>
      </c>
      <c r="N15" s="334">
        <f>O15</f>
        <v>694827.4</v>
      </c>
      <c r="O15" s="71">
        <f t="shared" ref="O15:O21" si="1">G15*K15</f>
        <v>694827.4</v>
      </c>
      <c r="P15" s="72" t="s">
        <v>104</v>
      </c>
      <c r="Q15" s="72"/>
      <c r="R15" s="72" t="s">
        <v>104</v>
      </c>
      <c r="S15" s="184"/>
      <c r="T15" s="207">
        <f>H15*K15</f>
        <v>694827.4</v>
      </c>
      <c r="U15" s="207">
        <f>I15*K15</f>
        <v>694827.4</v>
      </c>
    </row>
    <row r="16" spans="1:21">
      <c r="A16" s="355"/>
      <c r="B16" s="358"/>
      <c r="C16" s="63" t="s">
        <v>165</v>
      </c>
      <c r="D16" s="64"/>
      <c r="E16" s="123">
        <v>1</v>
      </c>
      <c r="F16" s="123">
        <v>1</v>
      </c>
      <c r="G16" s="123">
        <f t="shared" si="0"/>
        <v>1</v>
      </c>
      <c r="H16" s="59">
        <v>1</v>
      </c>
      <c r="I16" s="59">
        <v>1</v>
      </c>
      <c r="J16" s="71">
        <f t="shared" ref="J16:J21" si="2">K16</f>
        <v>92591.35</v>
      </c>
      <c r="K16" s="46">
        <v>92591.35</v>
      </c>
      <c r="L16" s="184" t="s">
        <v>104</v>
      </c>
      <c r="M16" s="72" t="s">
        <v>104</v>
      </c>
      <c r="N16" s="334">
        <f t="shared" ref="N16:N21" si="3">O16</f>
        <v>92591.35</v>
      </c>
      <c r="O16" s="71">
        <f t="shared" si="1"/>
        <v>92591.35</v>
      </c>
      <c r="P16" s="72" t="s">
        <v>104</v>
      </c>
      <c r="Q16" s="72"/>
      <c r="R16" s="72" t="s">
        <v>104</v>
      </c>
      <c r="S16" s="184"/>
      <c r="T16" s="207">
        <f t="shared" ref="T16:T21" si="4">H16*K16</f>
        <v>92591.35</v>
      </c>
      <c r="U16" s="207">
        <f t="shared" ref="U16:U21" si="5">I16*K16</f>
        <v>92591.35</v>
      </c>
    </row>
    <row r="17" spans="1:24">
      <c r="A17" s="355"/>
      <c r="B17" s="358"/>
      <c r="C17" s="63" t="s">
        <v>166</v>
      </c>
      <c r="D17" s="64"/>
      <c r="E17" s="123">
        <v>34</v>
      </c>
      <c r="F17" s="123">
        <v>34</v>
      </c>
      <c r="G17" s="123">
        <f t="shared" si="0"/>
        <v>34</v>
      </c>
      <c r="H17" s="59">
        <v>34</v>
      </c>
      <c r="I17" s="59">
        <v>34</v>
      </c>
      <c r="J17" s="71">
        <f t="shared" si="2"/>
        <v>66481.399999999994</v>
      </c>
      <c r="K17" s="46">
        <v>66481.399999999994</v>
      </c>
      <c r="L17" s="184" t="s">
        <v>104</v>
      </c>
      <c r="M17" s="72" t="s">
        <v>104</v>
      </c>
      <c r="N17" s="334">
        <f t="shared" si="3"/>
        <v>2260367.5999999996</v>
      </c>
      <c r="O17" s="71">
        <f t="shared" si="1"/>
        <v>2260367.5999999996</v>
      </c>
      <c r="P17" s="72" t="s">
        <v>104</v>
      </c>
      <c r="Q17" s="72"/>
      <c r="R17" s="72" t="s">
        <v>104</v>
      </c>
      <c r="S17" s="184"/>
      <c r="T17" s="207">
        <f t="shared" si="4"/>
        <v>2260367.5999999996</v>
      </c>
      <c r="U17" s="207">
        <f t="shared" si="5"/>
        <v>2260367.5999999996</v>
      </c>
    </row>
    <row r="18" spans="1:24">
      <c r="A18" s="355"/>
      <c r="B18" s="358"/>
      <c r="C18" s="63" t="s">
        <v>167</v>
      </c>
      <c r="D18" s="64"/>
      <c r="E18" s="123"/>
      <c r="F18" s="123"/>
      <c r="G18" s="123">
        <f t="shared" si="0"/>
        <v>0</v>
      </c>
      <c r="H18" s="59"/>
      <c r="I18" s="59"/>
      <c r="J18" s="71">
        <f t="shared" si="2"/>
        <v>174992.98</v>
      </c>
      <c r="K18" s="46">
        <v>174992.98</v>
      </c>
      <c r="L18" s="184" t="s">
        <v>104</v>
      </c>
      <c r="M18" s="72" t="s">
        <v>104</v>
      </c>
      <c r="N18" s="334">
        <f t="shared" si="3"/>
        <v>0</v>
      </c>
      <c r="O18" s="71">
        <f t="shared" si="1"/>
        <v>0</v>
      </c>
      <c r="P18" s="72" t="s">
        <v>104</v>
      </c>
      <c r="Q18" s="72"/>
      <c r="R18" s="72" t="s">
        <v>104</v>
      </c>
      <c r="S18" s="184"/>
      <c r="T18" s="207">
        <f t="shared" si="4"/>
        <v>0</v>
      </c>
      <c r="U18" s="207">
        <f t="shared" si="5"/>
        <v>0</v>
      </c>
    </row>
    <row r="19" spans="1:24">
      <c r="A19" s="355"/>
      <c r="B19" s="358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178902.16</v>
      </c>
      <c r="K19" s="46">
        <v>178902.16</v>
      </c>
      <c r="L19" s="184"/>
      <c r="M19" s="72"/>
      <c r="N19" s="334">
        <f t="shared" si="3"/>
        <v>0</v>
      </c>
      <c r="O19" s="71">
        <f t="shared" si="1"/>
        <v>0</v>
      </c>
      <c r="P19" s="72" t="s">
        <v>104</v>
      </c>
      <c r="Q19" s="72"/>
      <c r="R19" s="72" t="s">
        <v>104</v>
      </c>
      <c r="S19" s="184"/>
      <c r="T19" s="207">
        <f t="shared" si="4"/>
        <v>0</v>
      </c>
      <c r="U19" s="207">
        <f t="shared" si="5"/>
        <v>0</v>
      </c>
    </row>
    <row r="20" spans="1:24">
      <c r="A20" s="355"/>
      <c r="B20" s="358"/>
      <c r="C20" s="63" t="s">
        <v>170</v>
      </c>
      <c r="D20" s="64"/>
      <c r="E20" s="123">
        <v>1</v>
      </c>
      <c r="F20" s="123">
        <v>1</v>
      </c>
      <c r="G20" s="123">
        <f t="shared" si="0"/>
        <v>1</v>
      </c>
      <c r="H20" s="59">
        <v>1</v>
      </c>
      <c r="I20" s="59">
        <v>1</v>
      </c>
      <c r="J20" s="71">
        <f t="shared" si="2"/>
        <v>99770.92</v>
      </c>
      <c r="K20" s="46">
        <v>99770.92</v>
      </c>
      <c r="L20" s="184" t="s">
        <v>104</v>
      </c>
      <c r="M20" s="72" t="s">
        <v>104</v>
      </c>
      <c r="N20" s="334">
        <f t="shared" si="3"/>
        <v>99770.92</v>
      </c>
      <c r="O20" s="71">
        <f t="shared" si="1"/>
        <v>99770.92</v>
      </c>
      <c r="P20" s="72" t="s">
        <v>104</v>
      </c>
      <c r="Q20" s="72"/>
      <c r="R20" s="72" t="s">
        <v>104</v>
      </c>
      <c r="S20" s="184"/>
      <c r="T20" s="207">
        <f t="shared" si="4"/>
        <v>99770.92</v>
      </c>
      <c r="U20" s="207">
        <f t="shared" si="5"/>
        <v>99770.92</v>
      </c>
    </row>
    <row r="21" spans="1:24">
      <c r="A21" s="355"/>
      <c r="B21" s="358"/>
      <c r="C21" s="63" t="s">
        <v>168</v>
      </c>
      <c r="D21" s="64"/>
      <c r="E21" s="123">
        <v>2</v>
      </c>
      <c r="F21" s="123">
        <v>2</v>
      </c>
      <c r="G21" s="123">
        <f t="shared" si="0"/>
        <v>2</v>
      </c>
      <c r="H21" s="59">
        <v>2</v>
      </c>
      <c r="I21" s="59">
        <v>2</v>
      </c>
      <c r="J21" s="71">
        <f t="shared" si="2"/>
        <v>23678.79</v>
      </c>
      <c r="K21" s="46">
        <v>23678.79</v>
      </c>
      <c r="L21" s="184" t="s">
        <v>104</v>
      </c>
      <c r="M21" s="72" t="s">
        <v>104</v>
      </c>
      <c r="N21" s="334">
        <f t="shared" si="3"/>
        <v>47357.58</v>
      </c>
      <c r="O21" s="71">
        <f t="shared" si="1"/>
        <v>47357.58</v>
      </c>
      <c r="P21" s="72" t="s">
        <v>104</v>
      </c>
      <c r="Q21" s="72"/>
      <c r="R21" s="72" t="s">
        <v>104</v>
      </c>
      <c r="S21" s="184"/>
      <c r="T21" s="207">
        <f t="shared" si="4"/>
        <v>47357.58</v>
      </c>
      <c r="U21" s="207">
        <f t="shared" si="5"/>
        <v>47357.58</v>
      </c>
    </row>
    <row r="22" spans="1:24" ht="96.6">
      <c r="A22" s="355"/>
      <c r="B22" s="358"/>
      <c r="C22" s="61" t="s">
        <v>105</v>
      </c>
      <c r="D22" s="64" t="s">
        <v>101</v>
      </c>
      <c r="E22" s="123">
        <v>5</v>
      </c>
      <c r="F22" s="123">
        <v>5</v>
      </c>
      <c r="G22" s="123">
        <f t="shared" si="0"/>
        <v>5</v>
      </c>
      <c r="H22" s="59">
        <v>5</v>
      </c>
      <c r="I22" s="59">
        <v>5</v>
      </c>
      <c r="J22" s="75">
        <f>SUM(K22:M22)</f>
        <v>141179.59</v>
      </c>
      <c r="K22" s="46">
        <f>121511.73+1351.63</f>
        <v>122863.36</v>
      </c>
      <c r="L22" s="212">
        <f>4001.99</f>
        <v>4001.99</v>
      </c>
      <c r="M22" s="70">
        <v>14314.24</v>
      </c>
      <c r="N22" s="71">
        <f>SUM(O22:R22)</f>
        <v>705897.95</v>
      </c>
      <c r="O22" s="71">
        <f>G22*K22</f>
        <v>614316.80000000005</v>
      </c>
      <c r="P22" s="71">
        <f>G22*L22</f>
        <v>20009.949999999997</v>
      </c>
      <c r="Q22" s="71"/>
      <c r="R22" s="75">
        <f>G22*M22</f>
        <v>71571.199999999997</v>
      </c>
      <c r="S22" s="46"/>
      <c r="T22" s="207">
        <f>H22*J22</f>
        <v>705897.95</v>
      </c>
      <c r="U22" s="207">
        <f>T22</f>
        <v>705897.95</v>
      </c>
    </row>
    <row r="23" spans="1:24">
      <c r="A23" s="355"/>
      <c r="B23" s="359"/>
      <c r="C23" s="294" t="s">
        <v>106</v>
      </c>
      <c r="D23" s="67"/>
      <c r="E23" s="123">
        <f>E12+E22</f>
        <v>315</v>
      </c>
      <c r="F23" s="123">
        <f>F12+F22</f>
        <v>315</v>
      </c>
      <c r="G23" s="123">
        <f>G12+G22</f>
        <v>315</v>
      </c>
      <c r="H23" s="59">
        <f>H12+H22</f>
        <v>315</v>
      </c>
      <c r="I23" s="59">
        <f>I12+I22</f>
        <v>315</v>
      </c>
      <c r="J23" s="71" t="s">
        <v>104</v>
      </c>
      <c r="K23" s="206" t="s">
        <v>104</v>
      </c>
      <c r="L23" s="206" t="s">
        <v>104</v>
      </c>
      <c r="M23" s="71" t="s">
        <v>104</v>
      </c>
      <c r="N23" s="118">
        <f>SUM(N12:N22)</f>
        <v>17208031.600000001</v>
      </c>
      <c r="O23" s="118">
        <f>SUM(O12:O22)</f>
        <v>11438356.450000001</v>
      </c>
      <c r="P23" s="118">
        <f>SUM(P12:P22)</f>
        <v>1260626.8499999999</v>
      </c>
      <c r="Q23" s="118"/>
      <c r="R23" s="118">
        <f>SUM(R12:R22)</f>
        <v>4509048.3000000007</v>
      </c>
      <c r="S23" s="206"/>
      <c r="T23" s="46">
        <f>SUM(T12:T22)</f>
        <v>17208031.600000001</v>
      </c>
      <c r="U23" s="46">
        <f>SUM(U12:U22)</f>
        <v>17208031.600000001</v>
      </c>
      <c r="W23" s="192">
        <f>R23+R30+R36+R42</f>
        <v>10200439.600000001</v>
      </c>
    </row>
    <row r="24" spans="1:24" ht="82.95" customHeight="1">
      <c r="A24" s="355"/>
      <c r="B24" s="356" t="s">
        <v>238</v>
      </c>
      <c r="C24" s="61" t="s">
        <v>100</v>
      </c>
      <c r="D24" s="62" t="s">
        <v>101</v>
      </c>
      <c r="E24" s="123">
        <v>279</v>
      </c>
      <c r="F24" s="123">
        <v>279</v>
      </c>
      <c r="G24" s="123">
        <f t="shared" si="0"/>
        <v>279</v>
      </c>
      <c r="H24" s="59">
        <v>279</v>
      </c>
      <c r="I24" s="59">
        <v>279</v>
      </c>
      <c r="J24" s="107">
        <f>SUM(K24:M24)</f>
        <v>54702.01</v>
      </c>
      <c r="K24" s="221">
        <f>34483.05+1649.65</f>
        <v>36132.700000000004</v>
      </c>
      <c r="L24" s="212">
        <f>4001.99</f>
        <v>4001.99</v>
      </c>
      <c r="M24" s="70">
        <v>14567.32</v>
      </c>
      <c r="N24" s="71">
        <f>SUM(O24:R24)</f>
        <v>15261860.790000001</v>
      </c>
      <c r="O24" s="71">
        <f>G24*K24</f>
        <v>10081023.300000001</v>
      </c>
      <c r="P24" s="73">
        <f>G24*L24</f>
        <v>1116555.21</v>
      </c>
      <c r="Q24" s="73"/>
      <c r="R24" s="75">
        <f>G24*M24</f>
        <v>4064282.28</v>
      </c>
      <c r="S24" s="46"/>
      <c r="T24" s="46">
        <f>H24*J24</f>
        <v>15261860.790000001</v>
      </c>
      <c r="U24" s="46">
        <f>T24</f>
        <v>15261860.790000001</v>
      </c>
      <c r="X24" s="192"/>
    </row>
    <row r="25" spans="1:24" ht="111.75" customHeight="1">
      <c r="A25" s="355"/>
      <c r="B25" s="356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123"/>
      <c r="T25" s="46"/>
      <c r="U25" s="46"/>
    </row>
    <row r="26" spans="1:24" ht="20.25" customHeight="1">
      <c r="A26" s="355"/>
      <c r="B26" s="356"/>
      <c r="C26" s="63" t="s">
        <v>165</v>
      </c>
      <c r="D26" s="64" t="s">
        <v>101</v>
      </c>
      <c r="E26" s="122">
        <v>4</v>
      </c>
      <c r="F26" s="122">
        <v>4</v>
      </c>
      <c r="G26" s="123">
        <f t="shared" si="0"/>
        <v>4</v>
      </c>
      <c r="H26" s="60">
        <v>4</v>
      </c>
      <c r="I26" s="60">
        <v>4</v>
      </c>
      <c r="J26" s="71">
        <f>K26</f>
        <v>92591.35</v>
      </c>
      <c r="K26" s="46">
        <v>92591.35</v>
      </c>
      <c r="L26" s="123" t="s">
        <v>104</v>
      </c>
      <c r="M26" s="59" t="s">
        <v>104</v>
      </c>
      <c r="N26" s="71">
        <f>O26</f>
        <v>370365.4</v>
      </c>
      <c r="O26" s="71">
        <f>G26*K26</f>
        <v>370365.4</v>
      </c>
      <c r="P26" s="59" t="s">
        <v>104</v>
      </c>
      <c r="Q26" s="59"/>
      <c r="R26" s="59" t="s">
        <v>104</v>
      </c>
      <c r="S26" s="123"/>
      <c r="T26" s="46">
        <f>H26*K26</f>
        <v>370365.4</v>
      </c>
      <c r="U26" s="46">
        <f>I26*K26</f>
        <v>370365.4</v>
      </c>
    </row>
    <row r="27" spans="1:24" ht="21" customHeight="1">
      <c r="A27" s="355"/>
      <c r="B27" s="356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264803.59999999998</v>
      </c>
      <c r="K27" s="46">
        <v>264803.59999999998</v>
      </c>
      <c r="L27" s="123" t="s">
        <v>104</v>
      </c>
      <c r="M27" s="59" t="s">
        <v>104</v>
      </c>
      <c r="N27" s="71">
        <f>O27</f>
        <v>529607.19999999995</v>
      </c>
      <c r="O27" s="71">
        <f t="shared" ref="O27:O28" si="6">G27*K27</f>
        <v>529607.19999999995</v>
      </c>
      <c r="P27" s="59" t="s">
        <v>104</v>
      </c>
      <c r="Q27" s="59"/>
      <c r="R27" s="59" t="s">
        <v>104</v>
      </c>
      <c r="S27" s="123"/>
      <c r="T27" s="46">
        <f>H27*K27</f>
        <v>529607.19999999995</v>
      </c>
      <c r="U27" s="46">
        <f>I27*K27</f>
        <v>529607.19999999995</v>
      </c>
    </row>
    <row r="28" spans="1:24" ht="21" customHeight="1">
      <c r="A28" s="355"/>
      <c r="B28" s="356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23678.79</v>
      </c>
      <c r="K28" s="46">
        <v>23678.79</v>
      </c>
      <c r="L28" s="123" t="s">
        <v>104</v>
      </c>
      <c r="M28" s="59" t="s">
        <v>104</v>
      </c>
      <c r="N28" s="71">
        <f>O28</f>
        <v>23678.79</v>
      </c>
      <c r="O28" s="71">
        <f t="shared" si="6"/>
        <v>23678.79</v>
      </c>
      <c r="P28" s="59" t="s">
        <v>104</v>
      </c>
      <c r="Q28" s="59"/>
      <c r="R28" s="59" t="s">
        <v>104</v>
      </c>
      <c r="S28" s="123"/>
      <c r="T28" s="46">
        <f>H28*K28</f>
        <v>23678.79</v>
      </c>
      <c r="U28" s="46">
        <f>I28*K28</f>
        <v>23678.79</v>
      </c>
    </row>
    <row r="29" spans="1:24" ht="96.6">
      <c r="A29" s="355"/>
      <c r="B29" s="356"/>
      <c r="C29" s="61" t="s">
        <v>105</v>
      </c>
      <c r="D29" s="64" t="s">
        <v>101</v>
      </c>
      <c r="E29" s="122">
        <v>2</v>
      </c>
      <c r="F29" s="122">
        <v>2</v>
      </c>
      <c r="G29" s="214">
        <f t="shared" si="0"/>
        <v>2</v>
      </c>
      <c r="H29" s="60">
        <v>2</v>
      </c>
      <c r="I29" s="60">
        <v>2</v>
      </c>
      <c r="J29" s="71">
        <f>K29</f>
        <v>153144.94</v>
      </c>
      <c r="K29" s="208">
        <f>151495.29+1649.65</f>
        <v>153144.94</v>
      </c>
      <c r="L29" s="212">
        <f>4001.99</f>
        <v>4001.99</v>
      </c>
      <c r="M29" s="70">
        <v>14567.32</v>
      </c>
      <c r="N29" s="71">
        <f>SUM(O29:R29)</f>
        <v>343428.5</v>
      </c>
      <c r="O29" s="71">
        <f>G29*K29</f>
        <v>306289.88</v>
      </c>
      <c r="P29" s="73">
        <f>G29*L29</f>
        <v>8003.98</v>
      </c>
      <c r="Q29" s="73"/>
      <c r="R29" s="75">
        <f>G29*M29</f>
        <v>29134.639999999999</v>
      </c>
      <c r="S29" s="46"/>
      <c r="T29" s="46">
        <f>N29</f>
        <v>343428.5</v>
      </c>
      <c r="U29" s="46">
        <f>T29</f>
        <v>343428.5</v>
      </c>
    </row>
    <row r="30" spans="1:24">
      <c r="A30" s="355"/>
      <c r="B30" s="275"/>
      <c r="C30" s="294" t="s">
        <v>106</v>
      </c>
      <c r="D30" s="64"/>
      <c r="E30" s="122">
        <f>E24+E29</f>
        <v>281</v>
      </c>
      <c r="F30" s="122">
        <f>F24+F29</f>
        <v>281</v>
      </c>
      <c r="G30" s="122">
        <f>G24+G29</f>
        <v>281</v>
      </c>
      <c r="H30" s="60">
        <f>H24+H29</f>
        <v>281</v>
      </c>
      <c r="I30" s="60">
        <f>I24+I29</f>
        <v>281</v>
      </c>
      <c r="J30" s="59" t="s">
        <v>104</v>
      </c>
      <c r="K30" s="123" t="s">
        <v>104</v>
      </c>
      <c r="L30" s="123" t="s">
        <v>104</v>
      </c>
      <c r="M30" s="59" t="s">
        <v>104</v>
      </c>
      <c r="N30" s="103">
        <f>SUM(N24:N29)</f>
        <v>16528940.68</v>
      </c>
      <c r="O30" s="103">
        <f t="shared" ref="O30:U30" si="7">SUM(O24:O29)</f>
        <v>11310964.57</v>
      </c>
      <c r="P30" s="103">
        <f t="shared" si="7"/>
        <v>1124559.19</v>
      </c>
      <c r="Q30" s="103"/>
      <c r="R30" s="103">
        <f t="shared" si="7"/>
        <v>4093416.92</v>
      </c>
      <c r="S30" s="185"/>
      <c r="T30" s="185">
        <f t="shared" si="7"/>
        <v>16528940.68</v>
      </c>
      <c r="U30" s="185">
        <f t="shared" si="7"/>
        <v>16528940.68</v>
      </c>
    </row>
    <row r="31" spans="1:24" ht="82.95" customHeight="1">
      <c r="A31" s="355"/>
      <c r="B31" s="357" t="s">
        <v>239</v>
      </c>
      <c r="C31" s="61" t="s">
        <v>100</v>
      </c>
      <c r="D31" s="62" t="s">
        <v>101</v>
      </c>
      <c r="E31" s="122">
        <v>23</v>
      </c>
      <c r="F31" s="122">
        <v>23</v>
      </c>
      <c r="G31" s="123">
        <f t="shared" si="0"/>
        <v>23</v>
      </c>
      <c r="H31" s="60">
        <v>23</v>
      </c>
      <c r="I31" s="60">
        <v>23</v>
      </c>
      <c r="J31" s="107">
        <f>SUM(K31:M31)</f>
        <v>62175.83</v>
      </c>
      <c r="K31" s="221">
        <f>41240.72+1998.78</f>
        <v>43239.5</v>
      </c>
      <c r="L31" s="212">
        <f>4001.99</f>
        <v>4001.99</v>
      </c>
      <c r="M31" s="70">
        <v>14934.34</v>
      </c>
      <c r="N31" s="73">
        <f>SUM(O31:R31)</f>
        <v>1430044.09</v>
      </c>
      <c r="O31" s="73">
        <f>G31*K31</f>
        <v>994508.5</v>
      </c>
      <c r="P31" s="73">
        <f>G31*L31</f>
        <v>92045.76999999999</v>
      </c>
      <c r="Q31" s="73"/>
      <c r="R31" s="75">
        <f>G31*M31</f>
        <v>343489.82</v>
      </c>
      <c r="S31" s="46"/>
      <c r="T31" s="46">
        <f>N31</f>
        <v>1430044.09</v>
      </c>
      <c r="U31" s="46">
        <f>T31</f>
        <v>1430044.09</v>
      </c>
    </row>
    <row r="32" spans="1:24" ht="82.8">
      <c r="A32" s="355"/>
      <c r="B32" s="358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123"/>
      <c r="T32" s="46"/>
      <c r="U32" s="46"/>
    </row>
    <row r="33" spans="1:24">
      <c r="A33" s="355"/>
      <c r="B33" s="358"/>
      <c r="C33" s="63" t="s">
        <v>165</v>
      </c>
      <c r="D33" s="64" t="s">
        <v>101</v>
      </c>
      <c r="E33" s="123">
        <v>1</v>
      </c>
      <c r="F33" s="123">
        <v>1</v>
      </c>
      <c r="G33" s="123">
        <f>((E33*8)+(F33*4))/12</f>
        <v>1</v>
      </c>
      <c r="H33" s="59">
        <v>1</v>
      </c>
      <c r="I33" s="59">
        <v>1</v>
      </c>
      <c r="J33" s="71">
        <f>K33</f>
        <v>92591.35</v>
      </c>
      <c r="K33" s="46">
        <v>92591.35</v>
      </c>
      <c r="L33" s="123" t="s">
        <v>104</v>
      </c>
      <c r="M33" s="59" t="s">
        <v>104</v>
      </c>
      <c r="N33" s="71">
        <f>O33</f>
        <v>92591.35</v>
      </c>
      <c r="O33" s="71">
        <f>G33*K33</f>
        <v>92591.35</v>
      </c>
      <c r="P33" s="59" t="s">
        <v>104</v>
      </c>
      <c r="Q33" s="59"/>
      <c r="R33" s="59" t="s">
        <v>104</v>
      </c>
      <c r="S33" s="123"/>
      <c r="T33" s="46">
        <f>H33*K33</f>
        <v>92591.35</v>
      </c>
      <c r="U33" s="46">
        <f>I33*K33</f>
        <v>92591.35</v>
      </c>
      <c r="W33" s="182">
        <v>44402583.039999999</v>
      </c>
    </row>
    <row r="34" spans="1:24" ht="96.6">
      <c r="A34" s="355"/>
      <c r="B34" s="358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08"/>
      <c r="L34" s="185"/>
      <c r="M34" s="73"/>
      <c r="N34" s="73"/>
      <c r="O34" s="73"/>
      <c r="P34" s="73"/>
      <c r="Q34" s="73"/>
      <c r="R34" s="73"/>
      <c r="S34" s="208"/>
      <c r="T34" s="46">
        <f>H34*J34</f>
        <v>0</v>
      </c>
      <c r="U34" s="46">
        <f>I34*J34</f>
        <v>0</v>
      </c>
      <c r="W34" s="192">
        <f>T46-W33</f>
        <v>2124205.4400000051</v>
      </c>
    </row>
    <row r="35" spans="1:24" ht="92.4" customHeight="1">
      <c r="A35" s="355"/>
      <c r="B35" s="359"/>
      <c r="C35" s="61" t="s">
        <v>252</v>
      </c>
      <c r="D35" s="64" t="s">
        <v>101</v>
      </c>
      <c r="E35" s="122">
        <f>65+19</f>
        <v>84</v>
      </c>
      <c r="F35" s="122">
        <f>65+19</f>
        <v>84</v>
      </c>
      <c r="G35" s="123">
        <f>((E35*8)+(F35*4))/12</f>
        <v>84</v>
      </c>
      <c r="H35" s="60">
        <v>84</v>
      </c>
      <c r="I35" s="60">
        <v>84</v>
      </c>
      <c r="J35" s="73">
        <f>K35+L35</f>
        <v>38383.49</v>
      </c>
      <c r="K35" s="208">
        <f>32382.72+1998.78</f>
        <v>34381.5</v>
      </c>
      <c r="L35" s="212">
        <f>4001.99</f>
        <v>4001.99</v>
      </c>
      <c r="M35" s="70">
        <v>14934.34</v>
      </c>
      <c r="N35" s="73">
        <f>SUM(O35:R35)</f>
        <v>4478697.7200000007</v>
      </c>
      <c r="O35" s="73">
        <f>G35*K35</f>
        <v>2888046</v>
      </c>
      <c r="P35" s="73">
        <f>G35*L35</f>
        <v>336167.16</v>
      </c>
      <c r="Q35" s="59" t="s">
        <v>104</v>
      </c>
      <c r="R35" s="71">
        <f>M35*G35</f>
        <v>1254484.56</v>
      </c>
      <c r="S35" s="123" t="s">
        <v>104</v>
      </c>
      <c r="T35" s="46">
        <f>N35</f>
        <v>4478697.7200000007</v>
      </c>
      <c r="U35" s="46">
        <f>T35</f>
        <v>4478697.7200000007</v>
      </c>
    </row>
    <row r="36" spans="1:24">
      <c r="A36" s="355"/>
      <c r="B36" s="275"/>
      <c r="C36" s="294" t="s">
        <v>106</v>
      </c>
      <c r="D36" s="64"/>
      <c r="E36" s="122">
        <f>E31+E35</f>
        <v>107</v>
      </c>
      <c r="F36" s="122">
        <f>F31+F35</f>
        <v>107</v>
      </c>
      <c r="G36" s="122">
        <f>G31+G35</f>
        <v>107</v>
      </c>
      <c r="H36" s="60">
        <f>H31+H35</f>
        <v>107</v>
      </c>
      <c r="I36" s="60">
        <f>I31+I35</f>
        <v>107</v>
      </c>
      <c r="J36" s="73" t="s">
        <v>104</v>
      </c>
      <c r="K36" s="208" t="s">
        <v>104</v>
      </c>
      <c r="L36" s="208" t="s">
        <v>104</v>
      </c>
      <c r="M36" s="73" t="s">
        <v>104</v>
      </c>
      <c r="N36" s="103">
        <f>SUM(N31:N35)</f>
        <v>6001333.1600000011</v>
      </c>
      <c r="O36" s="103">
        <f>SUM(O31:O35)</f>
        <v>3975145.85</v>
      </c>
      <c r="P36" s="103">
        <f>SUM(P31:P35)</f>
        <v>428212.92999999993</v>
      </c>
      <c r="Q36" s="103"/>
      <c r="R36" s="103">
        <f>SUM(R31:R35)</f>
        <v>1597974.3800000001</v>
      </c>
      <c r="S36" s="185"/>
      <c r="T36" s="185">
        <f>SUM(T31:T35)</f>
        <v>6001333.1600000011</v>
      </c>
      <c r="U36" s="185">
        <f>SUM(U31:U35)</f>
        <v>6001333.1600000011</v>
      </c>
    </row>
    <row r="37" spans="1:24" ht="100.95" customHeight="1">
      <c r="A37" s="355"/>
      <c r="B37" s="137" t="s">
        <v>240</v>
      </c>
      <c r="C37" s="61" t="s">
        <v>187</v>
      </c>
      <c r="D37" s="64" t="s">
        <v>101</v>
      </c>
      <c r="E37" s="122">
        <v>911</v>
      </c>
      <c r="F37" s="122">
        <v>911</v>
      </c>
      <c r="G37" s="123">
        <f>((E37*8)+(F37*4))/12</f>
        <v>911</v>
      </c>
      <c r="H37" s="60">
        <v>911</v>
      </c>
      <c r="I37" s="60">
        <v>911</v>
      </c>
      <c r="J37" s="75">
        <f>K37</f>
        <v>3978.73</v>
      </c>
      <c r="K37" s="46">
        <v>3978.73</v>
      </c>
      <c r="L37" s="208" t="s">
        <v>104</v>
      </c>
      <c r="M37" s="73" t="s">
        <v>104</v>
      </c>
      <c r="N37" s="73">
        <f>SUM(O37:R37)</f>
        <v>3624623.03</v>
      </c>
      <c r="O37" s="73">
        <f>J37*G37</f>
        <v>3624623.03</v>
      </c>
      <c r="P37" s="73" t="s">
        <v>104</v>
      </c>
      <c r="Q37" s="73"/>
      <c r="R37" s="73" t="s">
        <v>104</v>
      </c>
      <c r="S37" s="208"/>
      <c r="T37" s="46">
        <f>N37</f>
        <v>3624623.03</v>
      </c>
      <c r="U37" s="46">
        <f>T37</f>
        <v>3624623.03</v>
      </c>
    </row>
    <row r="38" spans="1:24">
      <c r="A38" s="355"/>
      <c r="B38" s="69"/>
      <c r="C38" s="294" t="s">
        <v>106</v>
      </c>
      <c r="D38" s="69"/>
      <c r="E38" s="122">
        <f>SUM(E37:E37)</f>
        <v>911</v>
      </c>
      <c r="F38" s="122">
        <f>SUM(F37:F37)</f>
        <v>911</v>
      </c>
      <c r="G38" s="123">
        <f>G37</f>
        <v>911</v>
      </c>
      <c r="H38" s="60">
        <f>SUM(H37:H37)</f>
        <v>911</v>
      </c>
      <c r="I38" s="60">
        <f>SUM(I37:I37)</f>
        <v>911</v>
      </c>
      <c r="J38" s="73" t="s">
        <v>104</v>
      </c>
      <c r="K38" s="208" t="s">
        <v>104</v>
      </c>
      <c r="L38" s="208" t="s">
        <v>104</v>
      </c>
      <c r="M38" s="74">
        <f t="shared" ref="M38:U38" si="8">SUM(M37:M37)</f>
        <v>0</v>
      </c>
      <c r="N38" s="103">
        <f t="shared" si="8"/>
        <v>3624623.03</v>
      </c>
      <c r="O38" s="74">
        <f t="shared" si="8"/>
        <v>3624623.03</v>
      </c>
      <c r="P38" s="74">
        <f t="shared" si="8"/>
        <v>0</v>
      </c>
      <c r="Q38" s="74"/>
      <c r="R38" s="74">
        <f t="shared" si="8"/>
        <v>0</v>
      </c>
      <c r="S38" s="185"/>
      <c r="T38" s="185">
        <f t="shared" si="8"/>
        <v>3624623.03</v>
      </c>
      <c r="U38" s="185">
        <f t="shared" si="8"/>
        <v>3624623.03</v>
      </c>
    </row>
    <row r="39" spans="1:24" ht="27" hidden="1" customHeight="1">
      <c r="A39" s="355"/>
      <c r="B39" s="193" t="s">
        <v>284</v>
      </c>
      <c r="C39" s="181" t="s">
        <v>226</v>
      </c>
      <c r="D39" s="69"/>
      <c r="E39" s="122"/>
      <c r="F39" s="122"/>
      <c r="G39" s="123"/>
      <c r="H39" s="60"/>
      <c r="I39" s="60"/>
      <c r="J39" s="73"/>
      <c r="K39" s="208"/>
      <c r="L39" s="208"/>
      <c r="M39" s="74"/>
      <c r="N39" s="74">
        <f>P39</f>
        <v>0</v>
      </c>
      <c r="O39" s="74"/>
      <c r="P39" s="74"/>
      <c r="Q39" s="74"/>
      <c r="R39" s="74"/>
      <c r="S39" s="185"/>
      <c r="T39" s="185">
        <f>P39</f>
        <v>0</v>
      </c>
      <c r="U39" s="185">
        <f>T39</f>
        <v>0</v>
      </c>
    </row>
    <row r="40" spans="1:24" ht="13.95" hidden="1" customHeight="1">
      <c r="A40" s="355"/>
      <c r="B40" s="89" t="s">
        <v>225</v>
      </c>
      <c r="C40" s="181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08"/>
      <c r="L40" s="208"/>
      <c r="M40" s="74"/>
      <c r="N40" s="74">
        <f>S40</f>
        <v>0</v>
      </c>
      <c r="O40" s="74"/>
      <c r="P40" s="74"/>
      <c r="Q40" s="74"/>
      <c r="R40" s="74"/>
      <c r="S40" s="185"/>
      <c r="T40" s="185">
        <f>S40</f>
        <v>0</v>
      </c>
      <c r="U40" s="185">
        <f>T40</f>
        <v>0</v>
      </c>
    </row>
    <row r="41" spans="1:24" ht="13.95" hidden="1" customHeight="1">
      <c r="A41" s="355"/>
      <c r="B41" s="89" t="s">
        <v>225</v>
      </c>
      <c r="C41" s="181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08"/>
      <c r="L41" s="208"/>
      <c r="M41" s="74"/>
      <c r="N41" s="74"/>
      <c r="O41" s="74"/>
      <c r="P41" s="74"/>
      <c r="Q41" s="74"/>
      <c r="R41" s="74"/>
      <c r="S41" s="185"/>
      <c r="T41" s="185">
        <f>Q41</f>
        <v>0</v>
      </c>
      <c r="U41" s="185">
        <f>T41</f>
        <v>0</v>
      </c>
    </row>
    <row r="42" spans="1:24" ht="13.95" hidden="1" customHeight="1">
      <c r="A42" s="355"/>
      <c r="B42" s="89" t="s">
        <v>283</v>
      </c>
      <c r="C42" s="181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08"/>
      <c r="L42" s="208"/>
      <c r="M42" s="74"/>
      <c r="N42" s="74">
        <f>S42</f>
        <v>0</v>
      </c>
      <c r="O42" s="74"/>
      <c r="P42" s="74"/>
      <c r="Q42" s="74"/>
      <c r="R42" s="74"/>
      <c r="S42" s="185"/>
      <c r="T42" s="185"/>
      <c r="U42" s="185"/>
    </row>
    <row r="43" spans="1:24">
      <c r="A43" s="355"/>
      <c r="B43" s="89" t="s">
        <v>290</v>
      </c>
      <c r="C43" s="181" t="s">
        <v>226</v>
      </c>
      <c r="D43" s="64"/>
      <c r="E43" s="122">
        <v>27</v>
      </c>
      <c r="F43" s="122">
        <v>27</v>
      </c>
      <c r="G43" s="123">
        <v>27</v>
      </c>
      <c r="H43" s="59">
        <v>27</v>
      </c>
      <c r="I43" s="59">
        <v>27</v>
      </c>
      <c r="J43" s="73"/>
      <c r="K43" s="208"/>
      <c r="L43" s="208"/>
      <c r="M43" s="74"/>
      <c r="N43" s="74">
        <f>O43</f>
        <v>3163860</v>
      </c>
      <c r="O43" s="74">
        <v>3163860</v>
      </c>
      <c r="P43" s="74"/>
      <c r="Q43" s="74"/>
      <c r="R43" s="74"/>
      <c r="S43" s="185"/>
      <c r="T43" s="185">
        <v>3163860</v>
      </c>
      <c r="U43" s="185">
        <f>T43</f>
        <v>3163860</v>
      </c>
    </row>
    <row r="44" spans="1:24" ht="13.95" hidden="1" customHeight="1">
      <c r="A44" s="355"/>
      <c r="B44" s="89" t="s">
        <v>257</v>
      </c>
      <c r="C44" s="181" t="s">
        <v>226</v>
      </c>
      <c r="D44" s="64"/>
      <c r="E44" s="122"/>
      <c r="F44" s="122"/>
      <c r="G44" s="123"/>
      <c r="H44" s="60"/>
      <c r="I44" s="60"/>
      <c r="J44" s="73"/>
      <c r="K44" s="208"/>
      <c r="L44" s="208"/>
      <c r="M44" s="74"/>
      <c r="N44" s="74">
        <f>O44</f>
        <v>0</v>
      </c>
      <c r="O44" s="74"/>
      <c r="P44" s="74"/>
      <c r="Q44" s="74"/>
      <c r="R44" s="74"/>
      <c r="S44" s="185"/>
      <c r="T44" s="185">
        <f>O44</f>
        <v>0</v>
      </c>
      <c r="U44" s="185">
        <f>T44</f>
        <v>0</v>
      </c>
    </row>
    <row r="45" spans="1:24" ht="13.95" hidden="1" customHeight="1">
      <c r="A45" s="355"/>
      <c r="B45" s="89" t="s">
        <v>291</v>
      </c>
      <c r="C45" s="181" t="s">
        <v>226</v>
      </c>
      <c r="D45" s="64"/>
      <c r="E45" s="122"/>
      <c r="F45" s="122"/>
      <c r="G45" s="123"/>
      <c r="H45" s="60"/>
      <c r="I45" s="60"/>
      <c r="J45" s="73"/>
      <c r="K45" s="208"/>
      <c r="L45" s="208"/>
      <c r="M45" s="74"/>
      <c r="N45" s="74">
        <f>P45</f>
        <v>0</v>
      </c>
      <c r="O45" s="74"/>
      <c r="P45" s="74"/>
      <c r="Q45" s="74"/>
      <c r="R45" s="74"/>
      <c r="S45" s="185"/>
      <c r="T45" s="185"/>
      <c r="U45" s="185">
        <f>T45</f>
        <v>0</v>
      </c>
    </row>
    <row r="46" spans="1:24">
      <c r="A46" s="355"/>
      <c r="B46" s="101" t="s">
        <v>112</v>
      </c>
      <c r="C46" s="101"/>
      <c r="D46" s="69"/>
      <c r="E46" s="215">
        <f>E23+E30+E36</f>
        <v>703</v>
      </c>
      <c r="F46" s="220">
        <f>F23+F30+F36</f>
        <v>703</v>
      </c>
      <c r="G46" s="215">
        <f>G23+G30+G36</f>
        <v>703</v>
      </c>
      <c r="H46" s="102">
        <f>H23+H30+H36</f>
        <v>703</v>
      </c>
      <c r="I46" s="102">
        <f>I23+I30+I36</f>
        <v>703</v>
      </c>
      <c r="J46" s="104"/>
      <c r="K46" s="222"/>
      <c r="L46" s="138"/>
      <c r="M46" s="103"/>
      <c r="N46" s="103">
        <f>SUM(O46:S46)+0.01</f>
        <v>46526788.480000004</v>
      </c>
      <c r="O46" s="103">
        <f>O23+O30+O36+O38+O43+O44</f>
        <v>33512949.900000006</v>
      </c>
      <c r="P46" s="103">
        <f>P23+P30+P36+P38+P39+P40+P41+P45</f>
        <v>2813398.9699999997</v>
      </c>
      <c r="Q46" s="103">
        <f>Q23+Q30+Q36+Q38+Q39+Q40+Q41</f>
        <v>0</v>
      </c>
      <c r="R46" s="103">
        <f>R23+R30+R36+R38+R39+R40+R41+R42</f>
        <v>10200439.600000001</v>
      </c>
      <c r="S46" s="138">
        <f>S23+S30+S36+S38+S39+S40+S41+S42</f>
        <v>0</v>
      </c>
      <c r="T46" s="138">
        <f>T23+T30+T36+T38+T39+T40+T41+T42+T43+T44+T45+0.01</f>
        <v>46526788.480000004</v>
      </c>
      <c r="U46" s="138">
        <f>U23+U30+U36+U38+U39+U40+U41+U42+U43+U44+U45+0.01</f>
        <v>46526788.480000004</v>
      </c>
      <c r="V46" s="182">
        <v>10041727.25</v>
      </c>
      <c r="W46" s="192">
        <f>V46-R46</f>
        <v>-158712.35000000149</v>
      </c>
      <c r="X46" s="182">
        <f>W46/G46</f>
        <v>-225.76436699857965</v>
      </c>
    </row>
    <row r="47" spans="1:24" ht="82.95" customHeight="1">
      <c r="A47" s="380" t="s">
        <v>113</v>
      </c>
      <c r="B47" s="356" t="s">
        <v>237</v>
      </c>
      <c r="C47" s="61" t="s">
        <v>100</v>
      </c>
      <c r="D47" s="62" t="s">
        <v>101</v>
      </c>
      <c r="E47" s="123">
        <v>256</v>
      </c>
      <c r="F47" s="123">
        <v>256</v>
      </c>
      <c r="G47" s="123">
        <f>((E47*8)+(F47*4))/12</f>
        <v>256</v>
      </c>
      <c r="H47" s="59">
        <v>256</v>
      </c>
      <c r="I47" s="59">
        <v>256</v>
      </c>
      <c r="J47" s="107">
        <f>SUM(K47:M47)</f>
        <v>42926.31</v>
      </c>
      <c r="K47" s="221">
        <f>23258.45+1351.63</f>
        <v>24610.080000000002</v>
      </c>
      <c r="L47" s="212">
        <f>4001.99</f>
        <v>4001.99</v>
      </c>
      <c r="M47" s="70">
        <v>14314.24</v>
      </c>
      <c r="N47" s="71">
        <f>SUM(O47:R47)</f>
        <v>10989135.74</v>
      </c>
      <c r="O47" s="71">
        <f>G47*K47</f>
        <v>6300180.4800000004</v>
      </c>
      <c r="P47" s="71">
        <f>G47*L47</f>
        <v>1024509.4399999999</v>
      </c>
      <c r="Q47" s="71"/>
      <c r="R47" s="75">
        <f>G47*M47+0.38</f>
        <v>3664445.82</v>
      </c>
      <c r="S47" s="46"/>
      <c r="T47" s="46">
        <f>N47</f>
        <v>10989135.74</v>
      </c>
      <c r="U47" s="46">
        <f>T47</f>
        <v>10989135.74</v>
      </c>
    </row>
    <row r="48" spans="1:24" ht="82.8">
      <c r="A48" s="380"/>
      <c r="B48" s="356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123"/>
      <c r="T48" s="46"/>
      <c r="U48" s="46"/>
    </row>
    <row r="49" spans="1:21">
      <c r="A49" s="380"/>
      <c r="B49" s="356"/>
      <c r="C49" s="63" t="s">
        <v>169</v>
      </c>
      <c r="D49" s="64" t="s">
        <v>101</v>
      </c>
      <c r="E49" s="123">
        <v>7</v>
      </c>
      <c r="F49" s="123">
        <v>7</v>
      </c>
      <c r="G49" s="123">
        <f>((E49*8)+(F49*4))/12</f>
        <v>7</v>
      </c>
      <c r="H49" s="59">
        <v>7</v>
      </c>
      <c r="I49" s="59">
        <v>7</v>
      </c>
      <c r="J49" s="75">
        <f t="shared" ref="J49:J54" si="9">K49</f>
        <v>69482.740000000005</v>
      </c>
      <c r="K49" s="206">
        <v>69482.740000000005</v>
      </c>
      <c r="L49" s="123" t="s">
        <v>104</v>
      </c>
      <c r="M49" s="59" t="s">
        <v>104</v>
      </c>
      <c r="N49" s="71">
        <f t="shared" ref="N49:N54" si="10">O49</f>
        <v>486379.18000000005</v>
      </c>
      <c r="O49" s="71">
        <f>G49*K49</f>
        <v>486379.18000000005</v>
      </c>
      <c r="P49" s="59" t="s">
        <v>104</v>
      </c>
      <c r="Q49" s="59"/>
      <c r="R49" s="59" t="s">
        <v>104</v>
      </c>
      <c r="S49" s="123"/>
      <c r="T49" s="46">
        <f t="shared" ref="T49:T54" si="11">H49*K49</f>
        <v>486379.18000000005</v>
      </c>
      <c r="U49" s="46">
        <f t="shared" ref="U49:U54" si="12">I49*K49</f>
        <v>486379.18000000005</v>
      </c>
    </row>
    <row r="50" spans="1:21">
      <c r="A50" s="380"/>
      <c r="B50" s="356"/>
      <c r="C50" s="63" t="s">
        <v>166</v>
      </c>
      <c r="D50" s="64" t="s">
        <v>101</v>
      </c>
      <c r="E50" s="123">
        <v>15</v>
      </c>
      <c r="F50" s="123">
        <v>15</v>
      </c>
      <c r="G50" s="123">
        <f t="shared" ref="G50:G68" si="13">((E50*8)+(F50*4))/12</f>
        <v>15</v>
      </c>
      <c r="H50" s="59">
        <v>15</v>
      </c>
      <c r="I50" s="59">
        <v>15</v>
      </c>
      <c r="J50" s="75">
        <f t="shared" si="9"/>
        <v>66481.399999999994</v>
      </c>
      <c r="K50" s="46">
        <v>66481.399999999994</v>
      </c>
      <c r="L50" s="123" t="s">
        <v>104</v>
      </c>
      <c r="M50" s="59" t="s">
        <v>104</v>
      </c>
      <c r="N50" s="71">
        <f>O50</f>
        <v>997220.99999999988</v>
      </c>
      <c r="O50" s="71">
        <f t="shared" ref="O50:O54" si="14">G50*K50</f>
        <v>997220.99999999988</v>
      </c>
      <c r="P50" s="59" t="s">
        <v>104</v>
      </c>
      <c r="Q50" s="59"/>
      <c r="R50" s="59" t="s">
        <v>104</v>
      </c>
      <c r="S50" s="123"/>
      <c r="T50" s="46">
        <f t="shared" si="11"/>
        <v>997220.99999999988</v>
      </c>
      <c r="U50" s="46">
        <f t="shared" si="12"/>
        <v>997220.99999999988</v>
      </c>
    </row>
    <row r="51" spans="1:21">
      <c r="A51" s="380"/>
      <c r="B51" s="356"/>
      <c r="C51" s="63" t="s">
        <v>167</v>
      </c>
      <c r="D51" s="64" t="s">
        <v>101</v>
      </c>
      <c r="E51" s="123"/>
      <c r="F51" s="123"/>
      <c r="G51" s="123">
        <f t="shared" si="13"/>
        <v>0</v>
      </c>
      <c r="H51" s="59"/>
      <c r="I51" s="59"/>
      <c r="J51" s="75">
        <f t="shared" si="9"/>
        <v>174992.98</v>
      </c>
      <c r="K51" s="46">
        <v>174992.98</v>
      </c>
      <c r="L51" s="123" t="s">
        <v>104</v>
      </c>
      <c r="M51" s="59" t="s">
        <v>104</v>
      </c>
      <c r="N51" s="71">
        <f t="shared" si="10"/>
        <v>0</v>
      </c>
      <c r="O51" s="71">
        <f t="shared" si="14"/>
        <v>0</v>
      </c>
      <c r="P51" s="59" t="s">
        <v>104</v>
      </c>
      <c r="Q51" s="59"/>
      <c r="R51" s="59" t="s">
        <v>104</v>
      </c>
      <c r="S51" s="123"/>
      <c r="T51" s="46">
        <f t="shared" si="11"/>
        <v>0</v>
      </c>
      <c r="U51" s="46">
        <f t="shared" si="12"/>
        <v>0</v>
      </c>
    </row>
    <row r="52" spans="1:21">
      <c r="A52" s="380"/>
      <c r="B52" s="356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2</v>
      </c>
      <c r="I52" s="59">
        <v>2</v>
      </c>
      <c r="J52" s="75">
        <f t="shared" si="9"/>
        <v>99770.92</v>
      </c>
      <c r="K52" s="46">
        <v>99770.92</v>
      </c>
      <c r="L52" s="123" t="s">
        <v>104</v>
      </c>
      <c r="M52" s="59" t="s">
        <v>104</v>
      </c>
      <c r="N52" s="71">
        <f t="shared" si="10"/>
        <v>199541.84</v>
      </c>
      <c r="O52" s="71">
        <f t="shared" si="14"/>
        <v>199541.84</v>
      </c>
      <c r="P52" s="59" t="s">
        <v>104</v>
      </c>
      <c r="Q52" s="59"/>
      <c r="R52" s="59" t="s">
        <v>104</v>
      </c>
      <c r="S52" s="123"/>
      <c r="T52" s="46">
        <f t="shared" si="11"/>
        <v>199541.84</v>
      </c>
      <c r="U52" s="46">
        <f t="shared" si="12"/>
        <v>199541.84</v>
      </c>
    </row>
    <row r="53" spans="1:21">
      <c r="A53" s="380"/>
      <c r="B53" s="356"/>
      <c r="C53" s="63" t="s">
        <v>318</v>
      </c>
      <c r="D53" s="64" t="s">
        <v>101</v>
      </c>
      <c r="E53" s="123">
        <v>5</v>
      </c>
      <c r="F53" s="123">
        <v>5</v>
      </c>
      <c r="G53" s="123">
        <f t="shared" si="13"/>
        <v>5</v>
      </c>
      <c r="H53" s="59">
        <v>5</v>
      </c>
      <c r="I53" s="59">
        <v>5</v>
      </c>
      <c r="J53" s="75">
        <f t="shared" si="9"/>
        <v>297678.93</v>
      </c>
      <c r="K53" s="46">
        <v>297678.93</v>
      </c>
      <c r="L53" s="123" t="s">
        <v>104</v>
      </c>
      <c r="M53" s="59" t="s">
        <v>104</v>
      </c>
      <c r="N53" s="71">
        <f t="shared" si="10"/>
        <v>1488394.65</v>
      </c>
      <c r="O53" s="71">
        <f t="shared" si="14"/>
        <v>1488394.65</v>
      </c>
      <c r="P53" s="59"/>
      <c r="Q53" s="59"/>
      <c r="R53" s="59"/>
      <c r="S53" s="123"/>
      <c r="T53" s="46">
        <f t="shared" si="11"/>
        <v>1488394.65</v>
      </c>
      <c r="U53" s="46">
        <f t="shared" si="12"/>
        <v>1488394.65</v>
      </c>
    </row>
    <row r="54" spans="1:21">
      <c r="A54" s="380"/>
      <c r="B54" s="356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9"/>
        <v>23678.79</v>
      </c>
      <c r="K54" s="46">
        <v>23678.79</v>
      </c>
      <c r="L54" s="123" t="s">
        <v>104</v>
      </c>
      <c r="M54" s="59" t="s">
        <v>104</v>
      </c>
      <c r="N54" s="71">
        <f t="shared" si="10"/>
        <v>0</v>
      </c>
      <c r="O54" s="71">
        <f t="shared" si="14"/>
        <v>0</v>
      </c>
      <c r="P54" s="59" t="s">
        <v>104</v>
      </c>
      <c r="Q54" s="59"/>
      <c r="R54" s="59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96.6">
      <c r="A55" s="380"/>
      <c r="B55" s="356"/>
      <c r="C55" s="61" t="s">
        <v>105</v>
      </c>
      <c r="D55" s="64" t="s">
        <v>101</v>
      </c>
      <c r="E55" s="123">
        <v>1</v>
      </c>
      <c r="F55" s="123">
        <v>1</v>
      </c>
      <c r="G55" s="123">
        <f t="shared" si="13"/>
        <v>1</v>
      </c>
      <c r="H55" s="59">
        <v>1</v>
      </c>
      <c r="I55" s="59">
        <v>1</v>
      </c>
      <c r="J55" s="75">
        <f>SUM(K55:M55)</f>
        <v>141179.59</v>
      </c>
      <c r="K55" s="46">
        <f>121511.73+1351.63</f>
        <v>122863.36</v>
      </c>
      <c r="L55" s="212">
        <f>4001.99</f>
        <v>4001.99</v>
      </c>
      <c r="M55" s="70">
        <v>14314.24</v>
      </c>
      <c r="N55" s="71">
        <f>SUM(O55:R55)</f>
        <v>141179.59</v>
      </c>
      <c r="O55" s="71">
        <f>G55*K55</f>
        <v>122863.36</v>
      </c>
      <c r="P55" s="71">
        <f>G55*L55</f>
        <v>4001.99</v>
      </c>
      <c r="Q55" s="71"/>
      <c r="R55" s="75">
        <f>G55*M55</f>
        <v>14314.24</v>
      </c>
      <c r="S55" s="46"/>
      <c r="T55" s="46">
        <f>H55*J55</f>
        <v>141179.59</v>
      </c>
      <c r="U55" s="46">
        <f>T55</f>
        <v>141179.59</v>
      </c>
    </row>
    <row r="56" spans="1:21">
      <c r="A56" s="380"/>
      <c r="B56" s="356"/>
      <c r="C56" s="294" t="s">
        <v>106</v>
      </c>
      <c r="D56" s="67"/>
      <c r="E56" s="123">
        <f>E47+E55</f>
        <v>257</v>
      </c>
      <c r="F56" s="123">
        <f>F47+F55</f>
        <v>257</v>
      </c>
      <c r="G56" s="123">
        <f>G47+G55</f>
        <v>257</v>
      </c>
      <c r="H56" s="59">
        <f>H47+H55</f>
        <v>257</v>
      </c>
      <c r="I56" s="59">
        <f>I47+I55</f>
        <v>257</v>
      </c>
      <c r="J56" s="71" t="s">
        <v>104</v>
      </c>
      <c r="K56" s="206" t="s">
        <v>104</v>
      </c>
      <c r="L56" s="206" t="s">
        <v>104</v>
      </c>
      <c r="M56" s="71" t="s">
        <v>104</v>
      </c>
      <c r="N56" s="118">
        <f>SUM(N47:N55)</f>
        <v>14301852</v>
      </c>
      <c r="O56" s="71">
        <f>SUM(O47:O55)</f>
        <v>9594580.5099999998</v>
      </c>
      <c r="P56" s="71">
        <f>SUM(P47:P55)</f>
        <v>1028511.4299999999</v>
      </c>
      <c r="Q56" s="71"/>
      <c r="R56" s="118">
        <f>SUM(R47:R55)</f>
        <v>3678760.06</v>
      </c>
      <c r="S56" s="206"/>
      <c r="T56" s="46">
        <f>SUM(T47:T55)</f>
        <v>14301852</v>
      </c>
      <c r="U56" s="46">
        <f>SUM(U47:U55)</f>
        <v>14301852</v>
      </c>
    </row>
    <row r="57" spans="1:21" ht="82.95" customHeight="1">
      <c r="A57" s="380"/>
      <c r="B57" s="356" t="s">
        <v>238</v>
      </c>
      <c r="C57" s="61" t="s">
        <v>100</v>
      </c>
      <c r="D57" s="62" t="s">
        <v>101</v>
      </c>
      <c r="E57" s="123">
        <v>206</v>
      </c>
      <c r="F57" s="123">
        <v>206</v>
      </c>
      <c r="G57" s="123">
        <f t="shared" si="13"/>
        <v>206</v>
      </c>
      <c r="H57" s="59">
        <v>206</v>
      </c>
      <c r="I57" s="59">
        <v>206</v>
      </c>
      <c r="J57" s="107">
        <f>SUM(K57:M57)</f>
        <v>54702.01</v>
      </c>
      <c r="K57" s="221">
        <f>34483.05+1649.65</f>
        <v>36132.700000000004</v>
      </c>
      <c r="L57" s="212">
        <f>4001.99</f>
        <v>4001.99</v>
      </c>
      <c r="M57" s="70">
        <v>14567.32</v>
      </c>
      <c r="N57" s="71">
        <f>SUM(O57:R57)</f>
        <v>11268614.060000001</v>
      </c>
      <c r="O57" s="71">
        <f>G57*K57</f>
        <v>7443336.2000000011</v>
      </c>
      <c r="P57" s="71">
        <f>G57*L57</f>
        <v>824409.94</v>
      </c>
      <c r="Q57" s="71"/>
      <c r="R57" s="75">
        <f>G57*M57</f>
        <v>3000867.92</v>
      </c>
      <c r="S57" s="46"/>
      <c r="T57" s="46">
        <f>H57*J57</f>
        <v>11268614.060000001</v>
      </c>
      <c r="U57" s="46">
        <f>T57</f>
        <v>11268614.060000001</v>
      </c>
    </row>
    <row r="58" spans="1:21" ht="82.8">
      <c r="A58" s="380"/>
      <c r="B58" s="356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59" t="s">
        <v>104</v>
      </c>
      <c r="N58" s="71"/>
      <c r="O58" s="71"/>
      <c r="P58" s="59" t="s">
        <v>104</v>
      </c>
      <c r="Q58" s="59"/>
      <c r="R58" s="59" t="s">
        <v>104</v>
      </c>
      <c r="S58" s="123"/>
      <c r="T58" s="46"/>
      <c r="U58" s="46"/>
    </row>
    <row r="59" spans="1:21">
      <c r="A59" s="380"/>
      <c r="B59" s="356"/>
      <c r="C59" s="63" t="s">
        <v>165</v>
      </c>
      <c r="D59" s="64" t="s">
        <v>101</v>
      </c>
      <c r="E59" s="123">
        <v>1</v>
      </c>
      <c r="F59" s="123">
        <v>1</v>
      </c>
      <c r="G59" s="123">
        <f t="shared" si="13"/>
        <v>1</v>
      </c>
      <c r="H59" s="59">
        <v>1</v>
      </c>
      <c r="I59" s="59">
        <v>1</v>
      </c>
      <c r="J59" s="75">
        <f>K59</f>
        <v>92591.35</v>
      </c>
      <c r="K59" s="206">
        <v>92591.35</v>
      </c>
      <c r="L59" s="123" t="s">
        <v>104</v>
      </c>
      <c r="M59" s="59" t="s">
        <v>104</v>
      </c>
      <c r="N59" s="71">
        <f>O59</f>
        <v>92591.35</v>
      </c>
      <c r="O59" s="71">
        <f>G59*K59</f>
        <v>92591.35</v>
      </c>
      <c r="P59" s="59"/>
      <c r="Q59" s="59"/>
      <c r="R59" s="59"/>
      <c r="S59" s="123"/>
      <c r="T59" s="46">
        <f>H59*K59</f>
        <v>92591.35</v>
      </c>
      <c r="U59" s="46">
        <f>I59*K59</f>
        <v>92591.35</v>
      </c>
    </row>
    <row r="60" spans="1:21">
      <c r="A60" s="380"/>
      <c r="B60" s="356"/>
      <c r="C60" s="63" t="s">
        <v>167</v>
      </c>
      <c r="D60" s="64" t="s">
        <v>101</v>
      </c>
      <c r="E60" s="123">
        <v>2</v>
      </c>
      <c r="F60" s="123">
        <v>2</v>
      </c>
      <c r="G60" s="123">
        <f t="shared" si="13"/>
        <v>2</v>
      </c>
      <c r="H60" s="59">
        <v>2</v>
      </c>
      <c r="I60" s="59">
        <v>2</v>
      </c>
      <c r="J60" s="75">
        <f>K60</f>
        <v>264803.59999999998</v>
      </c>
      <c r="K60" s="206">
        <v>264803.59999999998</v>
      </c>
      <c r="L60" s="123" t="s">
        <v>104</v>
      </c>
      <c r="M60" s="59" t="s">
        <v>104</v>
      </c>
      <c r="N60" s="71">
        <f>O60</f>
        <v>529607.19999999995</v>
      </c>
      <c r="O60" s="71">
        <f t="shared" ref="O60:O63" si="15">G60*K60</f>
        <v>529607.19999999995</v>
      </c>
      <c r="P60" s="59"/>
      <c r="Q60" s="59"/>
      <c r="R60" s="59"/>
      <c r="S60" s="123"/>
      <c r="T60" s="46">
        <f>H60*K60</f>
        <v>529607.19999999995</v>
      </c>
      <c r="U60" s="46">
        <f>I60*K60</f>
        <v>529607.19999999995</v>
      </c>
    </row>
    <row r="61" spans="1:21">
      <c r="A61" s="380"/>
      <c r="B61" s="356"/>
      <c r="C61" s="63" t="s">
        <v>190</v>
      </c>
      <c r="D61" s="64" t="s">
        <v>101</v>
      </c>
      <c r="E61" s="122"/>
      <c r="F61" s="122"/>
      <c r="G61" s="123">
        <f t="shared" si="13"/>
        <v>0</v>
      </c>
      <c r="H61" s="60"/>
      <c r="I61" s="60"/>
      <c r="J61" s="75">
        <f>K61</f>
        <v>165608.53</v>
      </c>
      <c r="K61" s="46">
        <v>165608.53</v>
      </c>
      <c r="L61" s="123" t="s">
        <v>104</v>
      </c>
      <c r="M61" s="59" t="s">
        <v>104</v>
      </c>
      <c r="N61" s="71">
        <f>O61</f>
        <v>0</v>
      </c>
      <c r="O61" s="71">
        <f t="shared" si="15"/>
        <v>0</v>
      </c>
      <c r="P61" s="59" t="s">
        <v>104</v>
      </c>
      <c r="Q61" s="59"/>
      <c r="R61" s="59" t="s">
        <v>104</v>
      </c>
      <c r="S61" s="123"/>
      <c r="T61" s="46">
        <f>H61*K61</f>
        <v>0</v>
      </c>
      <c r="U61" s="46">
        <f>I61*K61</f>
        <v>0</v>
      </c>
    </row>
    <row r="62" spans="1:21">
      <c r="A62" s="380"/>
      <c r="B62" s="356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1</v>
      </c>
      <c r="I62" s="60">
        <v>1</v>
      </c>
      <c r="J62" s="75">
        <f>K62</f>
        <v>32894.53</v>
      </c>
      <c r="K62" s="46">
        <v>32894.53</v>
      </c>
      <c r="L62" s="123" t="s">
        <v>104</v>
      </c>
      <c r="M62" s="59" t="s">
        <v>104</v>
      </c>
      <c r="N62" s="71">
        <f>O62</f>
        <v>32894.53</v>
      </c>
      <c r="O62" s="71">
        <f t="shared" si="15"/>
        <v>32894.53</v>
      </c>
      <c r="P62" s="59" t="s">
        <v>104</v>
      </c>
      <c r="Q62" s="59"/>
      <c r="R62" s="59" t="s">
        <v>104</v>
      </c>
      <c r="S62" s="123"/>
      <c r="T62" s="46">
        <f>H62*K62</f>
        <v>32894.53</v>
      </c>
      <c r="U62" s="46">
        <f>I62*K62</f>
        <v>32894.53</v>
      </c>
    </row>
    <row r="63" spans="1:21">
      <c r="A63" s="380"/>
      <c r="B63" s="356"/>
      <c r="C63" s="63" t="s">
        <v>168</v>
      </c>
      <c r="D63" s="64" t="s">
        <v>101</v>
      </c>
      <c r="E63" s="122">
        <v>2</v>
      </c>
      <c r="F63" s="122">
        <v>2</v>
      </c>
      <c r="G63" s="123">
        <f t="shared" si="13"/>
        <v>2</v>
      </c>
      <c r="H63" s="60">
        <v>2</v>
      </c>
      <c r="I63" s="60">
        <v>2</v>
      </c>
      <c r="J63" s="75">
        <f>K63</f>
        <v>23678.79</v>
      </c>
      <c r="K63" s="46">
        <v>23678.79</v>
      </c>
      <c r="L63" s="123" t="s">
        <v>104</v>
      </c>
      <c r="M63" s="59" t="s">
        <v>104</v>
      </c>
      <c r="N63" s="71">
        <f>O63</f>
        <v>47357.58</v>
      </c>
      <c r="O63" s="71">
        <f t="shared" si="15"/>
        <v>47357.58</v>
      </c>
      <c r="P63" s="59" t="s">
        <v>104</v>
      </c>
      <c r="Q63" s="59"/>
      <c r="R63" s="59" t="s">
        <v>104</v>
      </c>
      <c r="S63" s="123"/>
      <c r="T63" s="46">
        <f>H63*K63</f>
        <v>47357.58</v>
      </c>
      <c r="U63" s="46">
        <f>I63*K63</f>
        <v>47357.58</v>
      </c>
    </row>
    <row r="64" spans="1:21" ht="96.6">
      <c r="A64" s="380"/>
      <c r="B64" s="356"/>
      <c r="C64" s="61" t="s">
        <v>105</v>
      </c>
      <c r="D64" s="64" t="s">
        <v>101</v>
      </c>
      <c r="E64" s="122">
        <v>1</v>
      </c>
      <c r="F64" s="122">
        <v>1</v>
      </c>
      <c r="G64" s="123">
        <f t="shared" si="13"/>
        <v>1</v>
      </c>
      <c r="H64" s="60">
        <v>1</v>
      </c>
      <c r="I64" s="60">
        <v>1</v>
      </c>
      <c r="J64" s="75">
        <f>SUM(K64:M64)</f>
        <v>171714.25</v>
      </c>
      <c r="K64" s="46">
        <f>151495.29+1649.65</f>
        <v>153144.94</v>
      </c>
      <c r="L64" s="212">
        <f>4001.99</f>
        <v>4001.99</v>
      </c>
      <c r="M64" s="70">
        <v>14567.32</v>
      </c>
      <c r="N64" s="71">
        <f>SUM(O64:R64)</f>
        <v>171714.25</v>
      </c>
      <c r="O64" s="71">
        <f>G64*K64</f>
        <v>153144.94</v>
      </c>
      <c r="P64" s="73">
        <f>G64*L64</f>
        <v>4001.99</v>
      </c>
      <c r="Q64" s="73"/>
      <c r="R64" s="75">
        <f>G64*M64</f>
        <v>14567.32</v>
      </c>
      <c r="S64" s="46"/>
      <c r="T64" s="46">
        <f>H64*J64</f>
        <v>171714.25</v>
      </c>
      <c r="U64" s="46">
        <f>T64</f>
        <v>171714.25</v>
      </c>
    </row>
    <row r="65" spans="1:24">
      <c r="A65" s="380"/>
      <c r="B65" s="275"/>
      <c r="C65" s="294" t="s">
        <v>106</v>
      </c>
      <c r="D65" s="64"/>
      <c r="E65" s="122">
        <f>E57+E64</f>
        <v>207</v>
      </c>
      <c r="F65" s="122">
        <f>F57+F64</f>
        <v>207</v>
      </c>
      <c r="G65" s="122">
        <f>G57+G64</f>
        <v>207</v>
      </c>
      <c r="H65" s="60">
        <f>H57+H64</f>
        <v>207</v>
      </c>
      <c r="I65" s="60">
        <f>I57+I64</f>
        <v>207</v>
      </c>
      <c r="J65" s="73" t="s">
        <v>104</v>
      </c>
      <c r="K65" s="208" t="s">
        <v>104</v>
      </c>
      <c r="L65" s="185" t="s">
        <v>104</v>
      </c>
      <c r="M65" s="74" t="s">
        <v>104</v>
      </c>
      <c r="N65" s="103">
        <f t="shared" ref="N65:U65" si="16">SUM(N57:N64)</f>
        <v>12142778.969999999</v>
      </c>
      <c r="O65" s="74">
        <f t="shared" si="16"/>
        <v>8298931.8000000017</v>
      </c>
      <c r="P65" s="74">
        <f t="shared" si="16"/>
        <v>828411.92999999993</v>
      </c>
      <c r="Q65" s="74"/>
      <c r="R65" s="103">
        <f t="shared" si="16"/>
        <v>3015435.2399999998</v>
      </c>
      <c r="S65" s="185"/>
      <c r="T65" s="46">
        <f t="shared" si="16"/>
        <v>12142778.969999999</v>
      </c>
      <c r="U65" s="46">
        <f t="shared" si="16"/>
        <v>12142778.969999999</v>
      </c>
    </row>
    <row r="66" spans="1:24" ht="82.95" customHeight="1">
      <c r="A66" s="380"/>
      <c r="B66" s="356" t="s">
        <v>239</v>
      </c>
      <c r="C66" s="61" t="s">
        <v>100</v>
      </c>
      <c r="D66" s="62" t="s">
        <v>101</v>
      </c>
      <c r="E66" s="122">
        <v>46</v>
      </c>
      <c r="F66" s="122">
        <v>46</v>
      </c>
      <c r="G66" s="123">
        <f t="shared" si="13"/>
        <v>46</v>
      </c>
      <c r="H66" s="60">
        <v>46</v>
      </c>
      <c r="I66" s="60">
        <v>46</v>
      </c>
      <c r="J66" s="107">
        <f>SUM(K66:M66)</f>
        <v>62175.83</v>
      </c>
      <c r="K66" s="221">
        <f>41240.72+1998.78</f>
        <v>43239.5</v>
      </c>
      <c r="L66" s="212">
        <f>4001.99</f>
        <v>4001.99</v>
      </c>
      <c r="M66" s="70">
        <v>14934.34</v>
      </c>
      <c r="N66" s="73">
        <f>SUM(O66:R66)</f>
        <v>2860088.18</v>
      </c>
      <c r="O66" s="73">
        <f>G66*K66</f>
        <v>1989017</v>
      </c>
      <c r="P66" s="73">
        <f>G66*L66</f>
        <v>184091.53999999998</v>
      </c>
      <c r="Q66" s="73"/>
      <c r="R66" s="75">
        <f>G66*M66</f>
        <v>686979.64</v>
      </c>
      <c r="S66" s="46"/>
      <c r="T66" s="46">
        <f>N66</f>
        <v>2860088.18</v>
      </c>
      <c r="U66" s="46">
        <f>T66</f>
        <v>2860088.18</v>
      </c>
    </row>
    <row r="67" spans="1:24" ht="82.8">
      <c r="A67" s="380"/>
      <c r="B67" s="356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59" t="s">
        <v>104</v>
      </c>
      <c r="N67" s="71"/>
      <c r="O67" s="71"/>
      <c r="P67" s="59" t="s">
        <v>104</v>
      </c>
      <c r="Q67" s="59"/>
      <c r="R67" s="59" t="s">
        <v>104</v>
      </c>
      <c r="S67" s="123"/>
      <c r="T67" s="46"/>
      <c r="U67" s="46"/>
    </row>
    <row r="68" spans="1:24">
      <c r="A68" s="380"/>
      <c r="B68" s="356"/>
      <c r="C68" s="63" t="s">
        <v>168</v>
      </c>
      <c r="D68" s="64" t="s">
        <v>101</v>
      </c>
      <c r="E68" s="122">
        <v>1</v>
      </c>
      <c r="F68" s="122">
        <v>1</v>
      </c>
      <c r="G68" s="123">
        <f t="shared" si="13"/>
        <v>1</v>
      </c>
      <c r="H68" s="60">
        <v>1</v>
      </c>
      <c r="I68" s="60">
        <v>1</v>
      </c>
      <c r="J68" s="75">
        <f>K68</f>
        <v>23678.79</v>
      </c>
      <c r="K68" s="46">
        <v>23678.79</v>
      </c>
      <c r="L68" s="123" t="s">
        <v>104</v>
      </c>
      <c r="M68" s="59" t="s">
        <v>104</v>
      </c>
      <c r="N68" s="71">
        <f>O68</f>
        <v>23678.79</v>
      </c>
      <c r="O68" s="71">
        <f>G68*K68</f>
        <v>23678.79</v>
      </c>
      <c r="P68" s="59" t="s">
        <v>104</v>
      </c>
      <c r="Q68" s="59"/>
      <c r="R68" s="59" t="s">
        <v>104</v>
      </c>
      <c r="S68" s="123"/>
      <c r="T68" s="46">
        <f>H68*K68</f>
        <v>23678.79</v>
      </c>
      <c r="U68" s="46">
        <f>I68*K68</f>
        <v>23678.79</v>
      </c>
      <c r="W68" s="182">
        <v>38189469.439999998</v>
      </c>
    </row>
    <row r="69" spans="1:24" ht="96.6">
      <c r="A69" s="380"/>
      <c r="B69" s="356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183477.63999999998</v>
      </c>
      <c r="K69" s="208">
        <f>181478.86+1998.78</f>
        <v>183477.63999999998</v>
      </c>
      <c r="L69" s="212">
        <f>4001.99</f>
        <v>4001.99</v>
      </c>
      <c r="M69" s="70">
        <v>14934.34</v>
      </c>
      <c r="N69" s="71">
        <f>SUM(O69:R69)</f>
        <v>0</v>
      </c>
      <c r="O69" s="73">
        <f>G69*K69</f>
        <v>0</v>
      </c>
      <c r="P69" s="73">
        <f>E69*L69*3.080014262</f>
        <v>0</v>
      </c>
      <c r="Q69" s="73"/>
      <c r="R69" s="75">
        <f>G69*M69</f>
        <v>0</v>
      </c>
      <c r="S69" s="46"/>
      <c r="T69" s="46">
        <f>H69*K69</f>
        <v>0</v>
      </c>
      <c r="U69" s="46">
        <f>I69*K69</f>
        <v>0</v>
      </c>
      <c r="W69" s="192">
        <f>T80-W68</f>
        <v>-2785807.8299999982</v>
      </c>
    </row>
    <row r="70" spans="1:24">
      <c r="A70" s="380"/>
      <c r="B70" s="275"/>
      <c r="C70" s="294" t="s">
        <v>106</v>
      </c>
      <c r="D70" s="64"/>
      <c r="E70" s="122">
        <f>E66+E69</f>
        <v>46</v>
      </c>
      <c r="F70" s="122">
        <f>F66+F69</f>
        <v>46</v>
      </c>
      <c r="G70" s="122">
        <f>G66+G69</f>
        <v>46</v>
      </c>
      <c r="H70" s="60">
        <f>H66+H69</f>
        <v>46</v>
      </c>
      <c r="I70" s="60">
        <f>I66+I69</f>
        <v>46</v>
      </c>
      <c r="J70" s="73" t="s">
        <v>104</v>
      </c>
      <c r="K70" s="208" t="s">
        <v>104</v>
      </c>
      <c r="L70" s="185" t="s">
        <v>104</v>
      </c>
      <c r="M70" s="74" t="s">
        <v>104</v>
      </c>
      <c r="N70" s="103">
        <f>SUM(N66:N69)</f>
        <v>2883766.97</v>
      </c>
      <c r="O70" s="74">
        <f>SUM(O66:O69)</f>
        <v>2012695.79</v>
      </c>
      <c r="P70" s="74">
        <f>SUM(P66:P69)</f>
        <v>184091.53999999998</v>
      </c>
      <c r="Q70" s="74"/>
      <c r="R70" s="103">
        <f>SUM(R66:R69)</f>
        <v>686979.64</v>
      </c>
      <c r="S70" s="185"/>
      <c r="T70" s="46">
        <f>SUM(T66:T69)</f>
        <v>2883766.97</v>
      </c>
      <c r="U70" s="46">
        <f>SUM(U66:U69)</f>
        <v>2883766.97</v>
      </c>
    </row>
    <row r="71" spans="1:24" ht="100.95" customHeight="1">
      <c r="A71" s="380"/>
      <c r="B71" s="137" t="s">
        <v>240</v>
      </c>
      <c r="C71" s="61" t="s">
        <v>187</v>
      </c>
      <c r="D71" s="64" t="s">
        <v>101</v>
      </c>
      <c r="E71" s="122">
        <v>879</v>
      </c>
      <c r="F71" s="122">
        <v>879</v>
      </c>
      <c r="G71" s="123">
        <f>((E71*8)+(F71*4))/12</f>
        <v>879</v>
      </c>
      <c r="H71" s="60">
        <v>879</v>
      </c>
      <c r="I71" s="60">
        <v>879</v>
      </c>
      <c r="J71" s="75">
        <f>K71</f>
        <v>3978.73</v>
      </c>
      <c r="K71" s="46">
        <v>3978.73</v>
      </c>
      <c r="L71" s="184" t="s">
        <v>104</v>
      </c>
      <c r="M71" s="72" t="s">
        <v>104</v>
      </c>
      <c r="N71" s="73">
        <f>SUM(O71:R71)</f>
        <v>3497303.67</v>
      </c>
      <c r="O71" s="73">
        <f>K71*G71</f>
        <v>3497303.67</v>
      </c>
      <c r="P71" s="73" t="s">
        <v>104</v>
      </c>
      <c r="Q71" s="73"/>
      <c r="R71" s="73" t="s">
        <v>104</v>
      </c>
      <c r="S71" s="208"/>
      <c r="T71" s="46">
        <f>N71</f>
        <v>3497303.67</v>
      </c>
      <c r="U71" s="46">
        <f t="shared" ref="U71:U78" si="17">T71</f>
        <v>3497303.67</v>
      </c>
    </row>
    <row r="72" spans="1:24">
      <c r="A72" s="380"/>
      <c r="B72" s="69"/>
      <c r="C72" s="294" t="s">
        <v>106</v>
      </c>
      <c r="D72" s="69"/>
      <c r="E72" s="122">
        <f>SUM(E71:E71)</f>
        <v>879</v>
      </c>
      <c r="F72" s="122">
        <f>SUM(F71:F71)</f>
        <v>879</v>
      </c>
      <c r="G72" s="122">
        <f>SUM(G71:G71)</f>
        <v>879</v>
      </c>
      <c r="H72" s="60">
        <f>SUM(H71:H71)</f>
        <v>879</v>
      </c>
      <c r="I72" s="60">
        <f>SUM(I71:I71)</f>
        <v>879</v>
      </c>
      <c r="J72" s="73" t="s">
        <v>104</v>
      </c>
      <c r="K72" s="208" t="s">
        <v>104</v>
      </c>
      <c r="L72" s="185" t="s">
        <v>104</v>
      </c>
      <c r="M72" s="74">
        <f t="shared" ref="M72:R72" si="18">SUM(M71:M71)</f>
        <v>0</v>
      </c>
      <c r="N72" s="103">
        <f t="shared" si="18"/>
        <v>3497303.67</v>
      </c>
      <c r="O72" s="74">
        <f>SUM(O71:O71)</f>
        <v>3497303.67</v>
      </c>
      <c r="P72" s="74">
        <f t="shared" si="18"/>
        <v>0</v>
      </c>
      <c r="Q72" s="74"/>
      <c r="R72" s="74">
        <f t="shared" si="18"/>
        <v>0</v>
      </c>
      <c r="S72" s="185"/>
      <c r="T72" s="46">
        <f>N72</f>
        <v>3497303.67</v>
      </c>
      <c r="U72" s="46">
        <f t="shared" si="17"/>
        <v>3497303.67</v>
      </c>
    </row>
    <row r="73" spans="1:24" ht="13.95" hidden="1" customHeight="1">
      <c r="A73" s="380"/>
      <c r="B73" s="69" t="s">
        <v>284</v>
      </c>
      <c r="C73" s="181" t="s">
        <v>226</v>
      </c>
      <c r="D73" s="69"/>
      <c r="E73" s="122"/>
      <c r="F73" s="122"/>
      <c r="G73" s="122"/>
      <c r="H73" s="60"/>
      <c r="I73" s="60"/>
      <c r="J73" s="73"/>
      <c r="K73" s="208"/>
      <c r="L73" s="185"/>
      <c r="M73" s="74"/>
      <c r="N73" s="74">
        <f>P73</f>
        <v>0</v>
      </c>
      <c r="O73" s="74"/>
      <c r="P73" s="74"/>
      <c r="Q73" s="74"/>
      <c r="R73" s="74"/>
      <c r="S73" s="185"/>
      <c r="T73" s="46">
        <f>P73</f>
        <v>0</v>
      </c>
      <c r="U73" s="46">
        <f t="shared" si="17"/>
        <v>0</v>
      </c>
    </row>
    <row r="74" spans="1:24" ht="13.95" hidden="1" customHeight="1">
      <c r="A74" s="380"/>
      <c r="B74" s="89" t="s">
        <v>225</v>
      </c>
      <c r="C74" s="181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08"/>
      <c r="L74" s="185"/>
      <c r="M74" s="74"/>
      <c r="N74" s="74">
        <f>S74</f>
        <v>0</v>
      </c>
      <c r="O74" s="74"/>
      <c r="P74" s="74"/>
      <c r="Q74" s="74"/>
      <c r="R74" s="74"/>
      <c r="S74" s="185"/>
      <c r="T74" s="46">
        <f>S74</f>
        <v>0</v>
      </c>
      <c r="U74" s="46">
        <f t="shared" si="17"/>
        <v>0</v>
      </c>
    </row>
    <row r="75" spans="1:24" ht="13.95" hidden="1" customHeight="1">
      <c r="A75" s="380"/>
      <c r="B75" s="89" t="s">
        <v>225</v>
      </c>
      <c r="C75" s="181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08"/>
      <c r="L75" s="185"/>
      <c r="M75" s="74"/>
      <c r="N75" s="74">
        <f>Q75</f>
        <v>0</v>
      </c>
      <c r="O75" s="74"/>
      <c r="P75" s="74"/>
      <c r="Q75" s="74"/>
      <c r="R75" s="74"/>
      <c r="S75" s="185"/>
      <c r="T75" s="46"/>
      <c r="U75" s="46">
        <f t="shared" si="17"/>
        <v>0</v>
      </c>
      <c r="V75" s="192">
        <f>Q75-T75</f>
        <v>0</v>
      </c>
    </row>
    <row r="76" spans="1:24" ht="13.95" hidden="1" customHeight="1">
      <c r="A76" s="380"/>
      <c r="B76" s="89" t="s">
        <v>283</v>
      </c>
      <c r="C76" s="181" t="s">
        <v>219</v>
      </c>
      <c r="D76" s="64"/>
      <c r="E76" s="122"/>
      <c r="F76" s="122"/>
      <c r="G76" s="122"/>
      <c r="H76" s="60"/>
      <c r="I76" s="60"/>
      <c r="J76" s="73"/>
      <c r="K76" s="208"/>
      <c r="L76" s="185"/>
      <c r="M76" s="74"/>
      <c r="N76" s="74">
        <f>S76</f>
        <v>0</v>
      </c>
      <c r="O76" s="74"/>
      <c r="P76" s="74"/>
      <c r="Q76" s="74"/>
      <c r="R76" s="74"/>
      <c r="S76" s="185"/>
      <c r="T76" s="46"/>
      <c r="U76" s="46"/>
    </row>
    <row r="77" spans="1:24">
      <c r="A77" s="380"/>
      <c r="B77" s="89" t="s">
        <v>290</v>
      </c>
      <c r="C77" s="181" t="s">
        <v>226</v>
      </c>
      <c r="D77" s="64"/>
      <c r="E77" s="122">
        <v>22</v>
      </c>
      <c r="F77" s="122">
        <v>22</v>
      </c>
      <c r="G77" s="122">
        <v>22</v>
      </c>
      <c r="H77" s="60">
        <v>22</v>
      </c>
      <c r="I77" s="60">
        <v>22</v>
      </c>
      <c r="J77" s="73"/>
      <c r="K77" s="208"/>
      <c r="L77" s="185"/>
      <c r="M77" s="74"/>
      <c r="N77" s="74">
        <f>O77</f>
        <v>2577960</v>
      </c>
      <c r="O77" s="74">
        <v>2577960</v>
      </c>
      <c r="P77" s="74"/>
      <c r="Q77" s="74"/>
      <c r="R77" s="74"/>
      <c r="S77" s="185"/>
      <c r="T77" s="46">
        <v>2577960</v>
      </c>
      <c r="U77" s="46">
        <f>T77</f>
        <v>2577960</v>
      </c>
    </row>
    <row r="78" spans="1:24" ht="13.95" hidden="1" customHeight="1">
      <c r="A78" s="380"/>
      <c r="B78" s="89" t="s">
        <v>257</v>
      </c>
      <c r="C78" s="181" t="s">
        <v>226</v>
      </c>
      <c r="D78" s="64"/>
      <c r="E78" s="122"/>
      <c r="F78" s="122"/>
      <c r="G78" s="122"/>
      <c r="H78" s="60"/>
      <c r="I78" s="60"/>
      <c r="J78" s="73"/>
      <c r="K78" s="208"/>
      <c r="L78" s="185"/>
      <c r="M78" s="74"/>
      <c r="N78" s="74">
        <f>O78</f>
        <v>0</v>
      </c>
      <c r="O78" s="74"/>
      <c r="P78" s="74"/>
      <c r="Q78" s="74"/>
      <c r="R78" s="74"/>
      <c r="S78" s="185"/>
      <c r="T78" s="46">
        <f>O78</f>
        <v>0</v>
      </c>
      <c r="U78" s="46">
        <f t="shared" si="17"/>
        <v>0</v>
      </c>
    </row>
    <row r="79" spans="1:24" ht="13.95" hidden="1" customHeight="1">
      <c r="A79" s="380"/>
      <c r="B79" s="89" t="s">
        <v>291</v>
      </c>
      <c r="C79" s="181" t="s">
        <v>226</v>
      </c>
      <c r="D79" s="64"/>
      <c r="E79" s="122"/>
      <c r="F79" s="122"/>
      <c r="G79" s="122"/>
      <c r="H79" s="60"/>
      <c r="I79" s="60"/>
      <c r="J79" s="73"/>
      <c r="K79" s="208"/>
      <c r="L79" s="185"/>
      <c r="M79" s="74"/>
      <c r="N79" s="74">
        <f>P79</f>
        <v>0</v>
      </c>
      <c r="O79" s="74"/>
      <c r="P79" s="74"/>
      <c r="Q79" s="74"/>
      <c r="R79" s="74"/>
      <c r="S79" s="185"/>
      <c r="T79" s="46"/>
      <c r="U79" s="46">
        <f>T79</f>
        <v>0</v>
      </c>
    </row>
    <row r="80" spans="1:24">
      <c r="A80" s="380"/>
      <c r="B80" s="101" t="s">
        <v>112</v>
      </c>
      <c r="C80" s="101"/>
      <c r="D80" s="69"/>
      <c r="E80" s="215">
        <f>E56+E65+E70</f>
        <v>510</v>
      </c>
      <c r="F80" s="102">
        <f>F56+F65+F70</f>
        <v>510</v>
      </c>
      <c r="G80" s="215">
        <f>G56+G65+G70</f>
        <v>510</v>
      </c>
      <c r="H80" s="102">
        <f>H56+H65+H70</f>
        <v>510</v>
      </c>
      <c r="I80" s="102">
        <f>I56+I65+I70</f>
        <v>510</v>
      </c>
      <c r="J80" s="104"/>
      <c r="K80" s="222"/>
      <c r="L80" s="138"/>
      <c r="M80" s="103"/>
      <c r="N80" s="103">
        <f>SUM(O80:S80)</f>
        <v>35403661.609999999</v>
      </c>
      <c r="O80" s="103">
        <f>O56+O65+O70+O72+O77+O78</f>
        <v>25981471.770000003</v>
      </c>
      <c r="P80" s="103">
        <f>P56+P65+P70+P72+P73+P74+P75+P79</f>
        <v>2041014.9</v>
      </c>
      <c r="Q80" s="103">
        <f>Q56+Q65+Q70+Q72+Q73+Q74+Q75</f>
        <v>0</v>
      </c>
      <c r="R80" s="103">
        <f>R56+R65+R70+R72+R73+R74+R75+R76</f>
        <v>7381174.9399999995</v>
      </c>
      <c r="S80" s="138">
        <f>S56+S65+S70+S72+S73+S74+S75+S76</f>
        <v>0</v>
      </c>
      <c r="T80" s="138">
        <f>T56+T65+T70+T72+T73+T74+T75+T76+T77+T78+T79</f>
        <v>35403661.609999999</v>
      </c>
      <c r="U80" s="138">
        <f>U56+U65+U70+U72+U73+U74+U75+U76+U77+U78+U79</f>
        <v>35403661.609999999</v>
      </c>
      <c r="V80" s="192">
        <v>9512309.3499999996</v>
      </c>
      <c r="W80" s="192">
        <f>V80-R80</f>
        <v>2131134.41</v>
      </c>
      <c r="X80" s="182">
        <f>W80/G80</f>
        <v>4178.6949215686282</v>
      </c>
    </row>
    <row r="81" spans="1:21" ht="82.95" customHeight="1">
      <c r="A81" s="355" t="s">
        <v>114</v>
      </c>
      <c r="B81" s="356" t="s">
        <v>237</v>
      </c>
      <c r="C81" s="61" t="s">
        <v>100</v>
      </c>
      <c r="D81" s="62" t="s">
        <v>101</v>
      </c>
      <c r="E81" s="123">
        <v>254</v>
      </c>
      <c r="F81" s="123">
        <v>254</v>
      </c>
      <c r="G81" s="123">
        <f t="shared" ref="G81:G104" si="19">((E81*8)+(F81*4))/12</f>
        <v>254</v>
      </c>
      <c r="H81" s="59">
        <v>254</v>
      </c>
      <c r="I81" s="59">
        <v>254</v>
      </c>
      <c r="J81" s="107">
        <f>SUM(K81:M81)</f>
        <v>42926.31</v>
      </c>
      <c r="K81" s="221">
        <f>23258.45+1351.63</f>
        <v>24610.080000000002</v>
      </c>
      <c r="L81" s="212">
        <f>4001.99</f>
        <v>4001.99</v>
      </c>
      <c r="M81" s="70">
        <v>14314.24</v>
      </c>
      <c r="N81" s="71">
        <f>SUM(O81:R81)</f>
        <v>10903283.120000001</v>
      </c>
      <c r="O81" s="71">
        <f>G81*K81</f>
        <v>6250960.3200000003</v>
      </c>
      <c r="P81" s="71">
        <f>G81*L81</f>
        <v>1016505.46</v>
      </c>
      <c r="Q81" s="71"/>
      <c r="R81" s="75">
        <f>G81*M81+0.38</f>
        <v>3635817.34</v>
      </c>
      <c r="S81" s="46"/>
      <c r="T81" s="46">
        <f>N81</f>
        <v>10903283.120000001</v>
      </c>
      <c r="U81" s="46">
        <f>T81</f>
        <v>10903283.120000001</v>
      </c>
    </row>
    <row r="82" spans="1:21" ht="82.8">
      <c r="A82" s="355"/>
      <c r="B82" s="356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59" t="s">
        <v>104</v>
      </c>
      <c r="N82" s="59"/>
      <c r="O82" s="59"/>
      <c r="P82" s="59" t="s">
        <v>104</v>
      </c>
      <c r="Q82" s="59"/>
      <c r="R82" s="59" t="s">
        <v>104</v>
      </c>
      <c r="S82" s="123"/>
      <c r="T82" s="46"/>
      <c r="U82" s="46"/>
    </row>
    <row r="83" spans="1:21">
      <c r="A83" s="355"/>
      <c r="B83" s="356"/>
      <c r="C83" s="63" t="s">
        <v>171</v>
      </c>
      <c r="D83" s="64" t="s">
        <v>101</v>
      </c>
      <c r="E83" s="123"/>
      <c r="F83" s="123"/>
      <c r="G83" s="123">
        <f t="shared" si="19"/>
        <v>0</v>
      </c>
      <c r="H83" s="59"/>
      <c r="I83" s="59"/>
      <c r="J83" s="75">
        <f t="shared" ref="J83:J88" si="20">K83</f>
        <v>69482.740000000005</v>
      </c>
      <c r="K83" s="46">
        <v>69482.740000000005</v>
      </c>
      <c r="L83" s="123" t="s">
        <v>104</v>
      </c>
      <c r="M83" s="59" t="s">
        <v>104</v>
      </c>
      <c r="N83" s="71">
        <f t="shared" ref="N83:N88" si="21">O83</f>
        <v>0</v>
      </c>
      <c r="O83" s="71">
        <f>G83*K83</f>
        <v>0</v>
      </c>
      <c r="P83" s="59" t="s">
        <v>104</v>
      </c>
      <c r="Q83" s="59"/>
      <c r="R83" s="59" t="s">
        <v>104</v>
      </c>
      <c r="S83" s="123"/>
      <c r="T83" s="46">
        <f t="shared" ref="T83:T88" si="22">H83*K83</f>
        <v>0</v>
      </c>
      <c r="U83" s="46">
        <f t="shared" ref="U83:U88" si="23">I83*K83</f>
        <v>0</v>
      </c>
    </row>
    <row r="84" spans="1:21">
      <c r="A84" s="355"/>
      <c r="B84" s="356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9"/>
        <v>3</v>
      </c>
      <c r="H84" s="59">
        <v>3</v>
      </c>
      <c r="I84" s="59">
        <v>3</v>
      </c>
      <c r="J84" s="75">
        <f t="shared" si="20"/>
        <v>25714.959999999999</v>
      </c>
      <c r="K84" s="46">
        <v>25714.959999999999</v>
      </c>
      <c r="L84" s="123" t="s">
        <v>104</v>
      </c>
      <c r="M84" s="59" t="s">
        <v>104</v>
      </c>
      <c r="N84" s="71">
        <f t="shared" si="21"/>
        <v>77144.88</v>
      </c>
      <c r="O84" s="71">
        <f t="shared" ref="O84:O88" si="24">G84*K84</f>
        <v>77144.88</v>
      </c>
      <c r="P84" s="59" t="s">
        <v>104</v>
      </c>
      <c r="Q84" s="59"/>
      <c r="R84" s="59" t="s">
        <v>104</v>
      </c>
      <c r="S84" s="123"/>
      <c r="T84" s="46">
        <f t="shared" si="22"/>
        <v>77144.88</v>
      </c>
      <c r="U84" s="46">
        <f t="shared" si="23"/>
        <v>77144.88</v>
      </c>
    </row>
    <row r="85" spans="1:21">
      <c r="A85" s="355"/>
      <c r="B85" s="356"/>
      <c r="C85" s="63" t="s">
        <v>169</v>
      </c>
      <c r="D85" s="64" t="s">
        <v>101</v>
      </c>
      <c r="E85" s="123">
        <v>17</v>
      </c>
      <c r="F85" s="123">
        <v>17</v>
      </c>
      <c r="G85" s="123">
        <f t="shared" si="19"/>
        <v>17</v>
      </c>
      <c r="H85" s="59">
        <v>17</v>
      </c>
      <c r="I85" s="59">
        <v>17</v>
      </c>
      <c r="J85" s="75">
        <f t="shared" si="20"/>
        <v>69482.740000000005</v>
      </c>
      <c r="K85" s="46">
        <v>69482.740000000005</v>
      </c>
      <c r="L85" s="123" t="s">
        <v>104</v>
      </c>
      <c r="M85" s="59" t="s">
        <v>104</v>
      </c>
      <c r="N85" s="71">
        <f t="shared" si="21"/>
        <v>1181206.58</v>
      </c>
      <c r="O85" s="71">
        <f t="shared" si="24"/>
        <v>1181206.58</v>
      </c>
      <c r="P85" s="59" t="s">
        <v>104</v>
      </c>
      <c r="Q85" s="59"/>
      <c r="R85" s="59" t="s">
        <v>104</v>
      </c>
      <c r="S85" s="123"/>
      <c r="T85" s="46">
        <f t="shared" si="22"/>
        <v>1181206.58</v>
      </c>
      <c r="U85" s="46">
        <f t="shared" si="23"/>
        <v>1181206.58</v>
      </c>
    </row>
    <row r="86" spans="1:21">
      <c r="A86" s="355"/>
      <c r="B86" s="356"/>
      <c r="C86" s="63" t="s">
        <v>165</v>
      </c>
      <c r="D86" s="64" t="s">
        <v>101</v>
      </c>
      <c r="E86" s="123">
        <v>1</v>
      </c>
      <c r="F86" s="123">
        <v>1</v>
      </c>
      <c r="G86" s="123">
        <f t="shared" si="19"/>
        <v>1</v>
      </c>
      <c r="H86" s="59">
        <v>1</v>
      </c>
      <c r="I86" s="59">
        <v>1</v>
      </c>
      <c r="J86" s="75">
        <f t="shared" si="20"/>
        <v>92591.35</v>
      </c>
      <c r="K86" s="46">
        <v>92591.35</v>
      </c>
      <c r="L86" s="123" t="s">
        <v>104</v>
      </c>
      <c r="M86" s="59" t="s">
        <v>104</v>
      </c>
      <c r="N86" s="71">
        <f t="shared" si="21"/>
        <v>92591.35</v>
      </c>
      <c r="O86" s="71">
        <f t="shared" si="24"/>
        <v>92591.35</v>
      </c>
      <c r="P86" s="59" t="s">
        <v>104</v>
      </c>
      <c r="Q86" s="59"/>
      <c r="R86" s="59" t="s">
        <v>104</v>
      </c>
      <c r="S86" s="123"/>
      <c r="T86" s="46">
        <f t="shared" si="22"/>
        <v>92591.35</v>
      </c>
      <c r="U86" s="46">
        <f t="shared" si="23"/>
        <v>92591.35</v>
      </c>
    </row>
    <row r="87" spans="1:21">
      <c r="A87" s="355"/>
      <c r="B87" s="356"/>
      <c r="C87" s="63" t="s">
        <v>166</v>
      </c>
      <c r="D87" s="64" t="s">
        <v>101</v>
      </c>
      <c r="E87" s="123">
        <v>6</v>
      </c>
      <c r="F87" s="123">
        <v>6</v>
      </c>
      <c r="G87" s="123">
        <f t="shared" si="19"/>
        <v>6</v>
      </c>
      <c r="H87" s="59">
        <v>6</v>
      </c>
      <c r="I87" s="59">
        <v>6</v>
      </c>
      <c r="J87" s="75">
        <f t="shared" si="20"/>
        <v>66481.399999999994</v>
      </c>
      <c r="K87" s="46">
        <v>66481.399999999994</v>
      </c>
      <c r="L87" s="123" t="s">
        <v>104</v>
      </c>
      <c r="M87" s="59" t="s">
        <v>104</v>
      </c>
      <c r="N87" s="71">
        <f t="shared" si="21"/>
        <v>398888.39999999997</v>
      </c>
      <c r="O87" s="71">
        <f t="shared" si="24"/>
        <v>398888.39999999997</v>
      </c>
      <c r="P87" s="59" t="s">
        <v>104</v>
      </c>
      <c r="Q87" s="59"/>
      <c r="R87" s="59" t="s">
        <v>104</v>
      </c>
      <c r="S87" s="123"/>
      <c r="T87" s="46">
        <f t="shared" si="22"/>
        <v>398888.39999999997</v>
      </c>
      <c r="U87" s="46">
        <f t="shared" si="23"/>
        <v>398888.39999999997</v>
      </c>
    </row>
    <row r="88" spans="1:21">
      <c r="A88" s="355"/>
      <c r="B88" s="356"/>
      <c r="C88" s="63" t="s">
        <v>168</v>
      </c>
      <c r="D88" s="64" t="s">
        <v>101</v>
      </c>
      <c r="E88" s="123"/>
      <c r="F88" s="123"/>
      <c r="G88" s="123">
        <f t="shared" si="19"/>
        <v>0</v>
      </c>
      <c r="H88" s="59"/>
      <c r="I88" s="59"/>
      <c r="J88" s="75">
        <f t="shared" si="20"/>
        <v>23678.79</v>
      </c>
      <c r="K88" s="46">
        <v>23678.79</v>
      </c>
      <c r="L88" s="123" t="s">
        <v>104</v>
      </c>
      <c r="M88" s="59" t="s">
        <v>104</v>
      </c>
      <c r="N88" s="71">
        <f t="shared" si="21"/>
        <v>0</v>
      </c>
      <c r="O88" s="71">
        <f t="shared" si="24"/>
        <v>0</v>
      </c>
      <c r="P88" s="59" t="s">
        <v>104</v>
      </c>
      <c r="Q88" s="59"/>
      <c r="R88" s="59" t="s">
        <v>104</v>
      </c>
      <c r="S88" s="123"/>
      <c r="T88" s="46">
        <f t="shared" si="22"/>
        <v>0</v>
      </c>
      <c r="U88" s="46">
        <f t="shared" si="23"/>
        <v>0</v>
      </c>
    </row>
    <row r="89" spans="1:21" ht="96.6">
      <c r="A89" s="355"/>
      <c r="B89" s="356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9"/>
        <v>1</v>
      </c>
      <c r="H89" s="59">
        <v>1</v>
      </c>
      <c r="I89" s="59">
        <v>1</v>
      </c>
      <c r="J89" s="75">
        <f>SUM(K89:M89)</f>
        <v>141179.59</v>
      </c>
      <c r="K89" s="46">
        <f>121511.73+1351.63</f>
        <v>122863.36</v>
      </c>
      <c r="L89" s="212">
        <f>4001.99</f>
        <v>4001.99</v>
      </c>
      <c r="M89" s="70">
        <v>14314.24</v>
      </c>
      <c r="N89" s="71">
        <f>SUM(O89:R89)</f>
        <v>141179.59</v>
      </c>
      <c r="O89" s="71">
        <f>G89*K89</f>
        <v>122863.36</v>
      </c>
      <c r="P89" s="71">
        <f>G89*L89</f>
        <v>4001.99</v>
      </c>
      <c r="Q89" s="71"/>
      <c r="R89" s="75">
        <f>G89*M89</f>
        <v>14314.24</v>
      </c>
      <c r="S89" s="46"/>
      <c r="T89" s="46">
        <f>N89</f>
        <v>141179.59</v>
      </c>
      <c r="U89" s="46">
        <f>T89</f>
        <v>141179.59</v>
      </c>
    </row>
    <row r="90" spans="1:21">
      <c r="A90" s="355"/>
      <c r="B90" s="356"/>
      <c r="C90" s="294" t="s">
        <v>106</v>
      </c>
      <c r="D90" s="67"/>
      <c r="E90" s="123">
        <f>E81+E89</f>
        <v>255</v>
      </c>
      <c r="F90" s="123">
        <f>F81+F89</f>
        <v>255</v>
      </c>
      <c r="G90" s="123">
        <f>G81+G89</f>
        <v>255</v>
      </c>
      <c r="H90" s="59">
        <f>H81+H89</f>
        <v>255</v>
      </c>
      <c r="I90" s="59">
        <f>I81+I89</f>
        <v>255</v>
      </c>
      <c r="J90" s="71" t="s">
        <v>104</v>
      </c>
      <c r="K90" s="206" t="s">
        <v>104</v>
      </c>
      <c r="L90" s="206" t="s">
        <v>104</v>
      </c>
      <c r="M90" s="71" t="s">
        <v>104</v>
      </c>
      <c r="N90" s="118">
        <f t="shared" ref="N90:T90" si="25">SUM(N81:N89)</f>
        <v>12794293.920000002</v>
      </c>
      <c r="O90" s="71">
        <f t="shared" si="25"/>
        <v>8123654.8900000006</v>
      </c>
      <c r="P90" s="71">
        <f t="shared" si="25"/>
        <v>1020507.45</v>
      </c>
      <c r="Q90" s="71"/>
      <c r="R90" s="118">
        <f t="shared" si="25"/>
        <v>3650131.58</v>
      </c>
      <c r="S90" s="206"/>
      <c r="T90" s="206">
        <f t="shared" si="25"/>
        <v>12794293.920000002</v>
      </c>
      <c r="U90" s="206">
        <f>T90</f>
        <v>12794293.920000002</v>
      </c>
    </row>
    <row r="91" spans="1:21" ht="82.95" customHeight="1">
      <c r="A91" s="355"/>
      <c r="B91" s="356" t="s">
        <v>238</v>
      </c>
      <c r="C91" s="61" t="s">
        <v>100</v>
      </c>
      <c r="D91" s="62" t="s">
        <v>101</v>
      </c>
      <c r="E91" s="123">
        <v>211</v>
      </c>
      <c r="F91" s="123">
        <v>211</v>
      </c>
      <c r="G91" s="123">
        <f t="shared" si="19"/>
        <v>211</v>
      </c>
      <c r="H91" s="59">
        <v>211</v>
      </c>
      <c r="I91" s="59">
        <v>211</v>
      </c>
      <c r="J91" s="107">
        <f>SUM(K91:M91)</f>
        <v>54702.01</v>
      </c>
      <c r="K91" s="221">
        <f>34483.05+1649.65</f>
        <v>36132.700000000004</v>
      </c>
      <c r="L91" s="212">
        <f>4001.99</f>
        <v>4001.99</v>
      </c>
      <c r="M91" s="70">
        <v>14567.32</v>
      </c>
      <c r="N91" s="71">
        <f>SUM(O91:R91)</f>
        <v>11542124.110000001</v>
      </c>
      <c r="O91" s="71">
        <f>G91*K91</f>
        <v>7623999.7000000011</v>
      </c>
      <c r="P91" s="71">
        <f>G91*L91</f>
        <v>844419.8899999999</v>
      </c>
      <c r="Q91" s="71"/>
      <c r="R91" s="75">
        <f>G91*M91</f>
        <v>3073704.52</v>
      </c>
      <c r="S91" s="46"/>
      <c r="T91" s="46">
        <f>N91</f>
        <v>11542124.110000001</v>
      </c>
      <c r="U91" s="46">
        <f>T91</f>
        <v>11542124.110000001</v>
      </c>
    </row>
    <row r="92" spans="1:21" ht="82.8">
      <c r="A92" s="355"/>
      <c r="B92" s="356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59" t="s">
        <v>104</v>
      </c>
      <c r="N92" s="71"/>
      <c r="O92" s="71"/>
      <c r="P92" s="59" t="s">
        <v>104</v>
      </c>
      <c r="Q92" s="59"/>
      <c r="R92" s="59" t="s">
        <v>104</v>
      </c>
      <c r="S92" s="123"/>
      <c r="T92" s="46"/>
      <c r="U92" s="46"/>
    </row>
    <row r="93" spans="1:21">
      <c r="A93" s="355"/>
      <c r="B93" s="356"/>
      <c r="C93" s="63" t="s">
        <v>171</v>
      </c>
      <c r="D93" s="64" t="s">
        <v>101</v>
      </c>
      <c r="E93" s="122">
        <v>2</v>
      </c>
      <c r="F93" s="122">
        <v>2</v>
      </c>
      <c r="G93" s="123">
        <f t="shared" si="19"/>
        <v>2</v>
      </c>
      <c r="H93" s="60">
        <v>2</v>
      </c>
      <c r="I93" s="60">
        <v>2</v>
      </c>
      <c r="J93" s="75">
        <f>K93</f>
        <v>69482.740000000005</v>
      </c>
      <c r="K93" s="46">
        <v>69482.740000000005</v>
      </c>
      <c r="L93" s="123" t="s">
        <v>104</v>
      </c>
      <c r="M93" s="59" t="s">
        <v>104</v>
      </c>
      <c r="N93" s="71">
        <f>O93</f>
        <v>138965.48000000001</v>
      </c>
      <c r="O93" s="71">
        <f>G93*K93</f>
        <v>138965.48000000001</v>
      </c>
      <c r="P93" s="59" t="s">
        <v>104</v>
      </c>
      <c r="Q93" s="59"/>
      <c r="R93" s="59" t="s">
        <v>104</v>
      </c>
      <c r="S93" s="123"/>
      <c r="T93" s="46">
        <f>H93*K93</f>
        <v>138965.48000000001</v>
      </c>
      <c r="U93" s="46">
        <f>I93*K93</f>
        <v>138965.48000000001</v>
      </c>
    </row>
    <row r="94" spans="1:21">
      <c r="A94" s="355"/>
      <c r="B94" s="356"/>
      <c r="C94" s="63" t="s">
        <v>165</v>
      </c>
      <c r="D94" s="64" t="s">
        <v>101</v>
      </c>
      <c r="E94" s="122"/>
      <c r="F94" s="122"/>
      <c r="G94" s="123">
        <f t="shared" si="19"/>
        <v>0</v>
      </c>
      <c r="H94" s="60"/>
      <c r="I94" s="60"/>
      <c r="J94" s="75">
        <f>K94</f>
        <v>92591.35</v>
      </c>
      <c r="K94" s="46">
        <v>92591.35</v>
      </c>
      <c r="L94" s="123" t="s">
        <v>104</v>
      </c>
      <c r="M94" s="59" t="s">
        <v>104</v>
      </c>
      <c r="N94" s="71">
        <f>O94</f>
        <v>0</v>
      </c>
      <c r="O94" s="71">
        <f t="shared" ref="O94:O95" si="26">G94*K94</f>
        <v>0</v>
      </c>
      <c r="P94" s="59" t="s">
        <v>104</v>
      </c>
      <c r="Q94" s="59"/>
      <c r="R94" s="59" t="s">
        <v>104</v>
      </c>
      <c r="S94" s="123"/>
      <c r="T94" s="46">
        <f>H94*K94</f>
        <v>0</v>
      </c>
      <c r="U94" s="46">
        <f>I94*K94</f>
        <v>0</v>
      </c>
    </row>
    <row r="95" spans="1:21">
      <c r="A95" s="355"/>
      <c r="B95" s="356"/>
      <c r="C95" s="63" t="s">
        <v>168</v>
      </c>
      <c r="D95" s="64" t="s">
        <v>101</v>
      </c>
      <c r="E95" s="122">
        <v>1</v>
      </c>
      <c r="F95" s="122">
        <v>1</v>
      </c>
      <c r="G95" s="123">
        <f t="shared" si="19"/>
        <v>1</v>
      </c>
      <c r="H95" s="60">
        <v>1</v>
      </c>
      <c r="I95" s="60">
        <v>1</v>
      </c>
      <c r="J95" s="75">
        <f>K95</f>
        <v>23678.79</v>
      </c>
      <c r="K95" s="46">
        <v>23678.79</v>
      </c>
      <c r="L95" s="123" t="s">
        <v>104</v>
      </c>
      <c r="M95" s="59" t="s">
        <v>104</v>
      </c>
      <c r="N95" s="71">
        <f>O95</f>
        <v>23678.79</v>
      </c>
      <c r="O95" s="71">
        <f t="shared" si="26"/>
        <v>23678.79</v>
      </c>
      <c r="P95" s="59" t="s">
        <v>104</v>
      </c>
      <c r="Q95" s="59"/>
      <c r="R95" s="59" t="s">
        <v>104</v>
      </c>
      <c r="S95" s="123"/>
      <c r="T95" s="46">
        <f>H95*K95</f>
        <v>23678.79</v>
      </c>
      <c r="U95" s="46">
        <f>I95*K95</f>
        <v>23678.79</v>
      </c>
    </row>
    <row r="96" spans="1:21" ht="96.6">
      <c r="A96" s="355"/>
      <c r="B96" s="356"/>
      <c r="C96" s="61" t="s">
        <v>105</v>
      </c>
      <c r="D96" s="64" t="s">
        <v>101</v>
      </c>
      <c r="E96" s="122"/>
      <c r="F96" s="122"/>
      <c r="G96" s="123">
        <f t="shared" si="19"/>
        <v>0</v>
      </c>
      <c r="H96" s="60"/>
      <c r="I96" s="60"/>
      <c r="J96" s="75">
        <f>SUM(K96:M96)</f>
        <v>157146.93</v>
      </c>
      <c r="K96" s="46">
        <f>151495.29+1649.65</f>
        <v>153144.94</v>
      </c>
      <c r="L96" s="212">
        <f>4001.99</f>
        <v>4001.99</v>
      </c>
      <c r="M96" s="70">
        <v>0</v>
      </c>
      <c r="N96" s="73">
        <f>SUM(O96:R96)</f>
        <v>0</v>
      </c>
      <c r="O96" s="71">
        <f>G96*K96</f>
        <v>0</v>
      </c>
      <c r="P96" s="73">
        <f>G96*L96</f>
        <v>0</v>
      </c>
      <c r="Q96" s="73"/>
      <c r="R96" s="75">
        <f>G96*M96</f>
        <v>0</v>
      </c>
      <c r="S96" s="46"/>
      <c r="T96" s="46">
        <f>N96</f>
        <v>0</v>
      </c>
      <c r="U96" s="46">
        <f>T96</f>
        <v>0</v>
      </c>
    </row>
    <row r="97" spans="1:23">
      <c r="A97" s="355"/>
      <c r="B97" s="275"/>
      <c r="C97" s="294" t="s">
        <v>106</v>
      </c>
      <c r="D97" s="64"/>
      <c r="E97" s="122">
        <f>E91+E96</f>
        <v>211</v>
      </c>
      <c r="F97" s="122">
        <f>F91+F96</f>
        <v>211</v>
      </c>
      <c r="G97" s="122">
        <f>G91+G96</f>
        <v>211</v>
      </c>
      <c r="H97" s="60">
        <f>H91+H96</f>
        <v>211</v>
      </c>
      <c r="I97" s="60">
        <f>I91+I96</f>
        <v>211</v>
      </c>
      <c r="J97" s="73" t="s">
        <v>104</v>
      </c>
      <c r="K97" s="208" t="s">
        <v>104</v>
      </c>
      <c r="L97" s="185" t="s">
        <v>104</v>
      </c>
      <c r="M97" s="74" t="s">
        <v>104</v>
      </c>
      <c r="N97" s="103">
        <f>SUM(N91:N96)</f>
        <v>11704768.380000001</v>
      </c>
      <c r="O97" s="74">
        <f t="shared" ref="O97:U97" si="27">SUM(O91:O96)</f>
        <v>7786643.9700000016</v>
      </c>
      <c r="P97" s="74">
        <f t="shared" si="27"/>
        <v>844419.8899999999</v>
      </c>
      <c r="Q97" s="74"/>
      <c r="R97" s="103">
        <f t="shared" si="27"/>
        <v>3073704.52</v>
      </c>
      <c r="S97" s="185"/>
      <c r="T97" s="185">
        <f t="shared" si="27"/>
        <v>11704768.380000001</v>
      </c>
      <c r="U97" s="185">
        <f t="shared" si="27"/>
        <v>11704768.380000001</v>
      </c>
    </row>
    <row r="98" spans="1:23" ht="82.95" customHeight="1">
      <c r="A98" s="355"/>
      <c r="B98" s="356" t="s">
        <v>239</v>
      </c>
      <c r="C98" s="61" t="s">
        <v>100</v>
      </c>
      <c r="D98" s="62" t="s">
        <v>101</v>
      </c>
      <c r="E98" s="122">
        <v>61</v>
      </c>
      <c r="F98" s="122">
        <v>61</v>
      </c>
      <c r="G98" s="123">
        <f t="shared" si="19"/>
        <v>61</v>
      </c>
      <c r="H98" s="60">
        <v>61</v>
      </c>
      <c r="I98" s="60">
        <v>61</v>
      </c>
      <c r="J98" s="107">
        <f>SUM(K98:M98)</f>
        <v>62175.83</v>
      </c>
      <c r="K98" s="221">
        <f>41240.72+1998.78</f>
        <v>43239.5</v>
      </c>
      <c r="L98" s="212">
        <f>4001.99</f>
        <v>4001.99</v>
      </c>
      <c r="M98" s="70">
        <v>14934.34</v>
      </c>
      <c r="N98" s="73">
        <f>SUM(O98:R98)</f>
        <v>3792725.63</v>
      </c>
      <c r="O98" s="73">
        <f>G98*K98</f>
        <v>2637609.5</v>
      </c>
      <c r="P98" s="73">
        <f>G98*L98</f>
        <v>244121.38999999998</v>
      </c>
      <c r="Q98" s="73"/>
      <c r="R98" s="75">
        <f>G98*M98</f>
        <v>910994.74</v>
      </c>
      <c r="S98" s="46"/>
      <c r="T98" s="46">
        <f>N98</f>
        <v>3792725.63</v>
      </c>
      <c r="U98" s="46">
        <f>T98</f>
        <v>3792725.63</v>
      </c>
    </row>
    <row r="99" spans="1:23" ht="82.8">
      <c r="A99" s="355"/>
      <c r="B99" s="356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59" t="s">
        <v>104</v>
      </c>
      <c r="N99" s="71"/>
      <c r="O99" s="71"/>
      <c r="P99" s="59" t="s">
        <v>104</v>
      </c>
      <c r="Q99" s="59"/>
      <c r="R99" s="59" t="s">
        <v>104</v>
      </c>
      <c r="S99" s="123"/>
      <c r="T99" s="46"/>
      <c r="U99" s="46"/>
    </row>
    <row r="100" spans="1:23">
      <c r="A100" s="355"/>
      <c r="B100" s="356"/>
      <c r="C100" s="63" t="s">
        <v>165</v>
      </c>
      <c r="D100" s="64" t="s">
        <v>101</v>
      </c>
      <c r="E100" s="122"/>
      <c r="F100" s="122"/>
      <c r="G100" s="123">
        <f t="shared" si="19"/>
        <v>0</v>
      </c>
      <c r="H100" s="60">
        <v>0</v>
      </c>
      <c r="I100" s="60">
        <v>0</v>
      </c>
      <c r="J100" s="75">
        <f>K100</f>
        <v>92591.35</v>
      </c>
      <c r="K100" s="46">
        <v>92591.35</v>
      </c>
      <c r="L100" s="123" t="s">
        <v>104</v>
      </c>
      <c r="M100" s="59" t="s">
        <v>104</v>
      </c>
      <c r="N100" s="71">
        <f>O100</f>
        <v>0</v>
      </c>
      <c r="O100" s="71">
        <f>G100*K100</f>
        <v>0</v>
      </c>
      <c r="P100" s="59" t="s">
        <v>104</v>
      </c>
      <c r="Q100" s="59"/>
      <c r="R100" s="59" t="s">
        <v>104</v>
      </c>
      <c r="S100" s="123"/>
      <c r="T100" s="46">
        <f>H100*K100</f>
        <v>0</v>
      </c>
      <c r="U100" s="46">
        <f>I100*K100</f>
        <v>0</v>
      </c>
      <c r="W100" s="182">
        <v>35580676.469999999</v>
      </c>
    </row>
    <row r="101" spans="1:23" ht="18" customHeight="1">
      <c r="A101" s="355"/>
      <c r="B101" s="356"/>
      <c r="C101" s="63" t="s">
        <v>168</v>
      </c>
      <c r="D101" s="64" t="s">
        <v>101</v>
      </c>
      <c r="E101" s="122">
        <v>2</v>
      </c>
      <c r="F101" s="122">
        <v>2</v>
      </c>
      <c r="G101" s="216">
        <f t="shared" si="19"/>
        <v>2</v>
      </c>
      <c r="H101" s="60">
        <v>2</v>
      </c>
      <c r="I101" s="60">
        <v>2</v>
      </c>
      <c r="J101" s="75">
        <f>K101</f>
        <v>23678.79</v>
      </c>
      <c r="K101" s="46">
        <v>23678.79</v>
      </c>
      <c r="L101" s="123" t="s">
        <v>104</v>
      </c>
      <c r="M101" s="70">
        <v>14934.34</v>
      </c>
      <c r="N101" s="71">
        <f>O101</f>
        <v>47357.58</v>
      </c>
      <c r="O101" s="71">
        <f>G101*K101</f>
        <v>47357.58</v>
      </c>
      <c r="P101" s="59" t="s">
        <v>104</v>
      </c>
      <c r="Q101" s="59"/>
      <c r="R101" s="59" t="s">
        <v>104</v>
      </c>
      <c r="S101" s="123"/>
      <c r="T101" s="46">
        <f>H101*K101</f>
        <v>47357.58</v>
      </c>
      <c r="U101" s="46">
        <f>I101*K101</f>
        <v>47357.58</v>
      </c>
    </row>
    <row r="102" spans="1:23" ht="96.6">
      <c r="A102" s="355"/>
      <c r="B102" s="356"/>
      <c r="C102" s="61" t="s">
        <v>105</v>
      </c>
      <c r="D102" s="64" t="s">
        <v>101</v>
      </c>
      <c r="E102" s="122">
        <v>1</v>
      </c>
      <c r="F102" s="122">
        <v>1</v>
      </c>
      <c r="G102" s="123">
        <f t="shared" si="19"/>
        <v>1</v>
      </c>
      <c r="H102" s="60">
        <v>1</v>
      </c>
      <c r="I102" s="60">
        <v>1</v>
      </c>
      <c r="J102" s="75">
        <f>SUM(K102:M102)</f>
        <v>202413.96999999997</v>
      </c>
      <c r="K102" s="46">
        <f>181478.86+1998.78</f>
        <v>183477.63999999998</v>
      </c>
      <c r="L102" s="212">
        <f>4001.99</f>
        <v>4001.99</v>
      </c>
      <c r="M102" s="70">
        <v>14934.34</v>
      </c>
      <c r="N102" s="73">
        <f>SUM(O102:R102)</f>
        <v>202413.96999999997</v>
      </c>
      <c r="O102" s="71">
        <f>G102*K102</f>
        <v>183477.63999999998</v>
      </c>
      <c r="P102" s="73">
        <f>G102*L102</f>
        <v>4001.99</v>
      </c>
      <c r="Q102" s="73"/>
      <c r="R102" s="75">
        <f>G102*M102</f>
        <v>14934.34</v>
      </c>
      <c r="S102" s="208"/>
      <c r="T102" s="46">
        <f>H102*J102</f>
        <v>202413.96999999997</v>
      </c>
      <c r="U102" s="46">
        <f>I102*J102</f>
        <v>202413.96999999997</v>
      </c>
    </row>
    <row r="103" spans="1:23">
      <c r="A103" s="355"/>
      <c r="B103" s="275"/>
      <c r="C103" s="294" t="s">
        <v>106</v>
      </c>
      <c r="D103" s="64"/>
      <c r="E103" s="122">
        <f>E98+E102</f>
        <v>62</v>
      </c>
      <c r="F103" s="122">
        <f>F98+F102</f>
        <v>62</v>
      </c>
      <c r="G103" s="122">
        <f>G98+G102</f>
        <v>62</v>
      </c>
      <c r="H103" s="60">
        <f>H98+H102</f>
        <v>62</v>
      </c>
      <c r="I103" s="60">
        <f>I98+I102</f>
        <v>62</v>
      </c>
      <c r="J103" s="73" t="s">
        <v>104</v>
      </c>
      <c r="K103" s="208" t="s">
        <v>104</v>
      </c>
      <c r="L103" s="185" t="s">
        <v>104</v>
      </c>
      <c r="M103" s="74" t="s">
        <v>104</v>
      </c>
      <c r="N103" s="103">
        <f>SUM(N98:N102)</f>
        <v>4042497.1799999997</v>
      </c>
      <c r="O103" s="74">
        <f>SUM(O98:O102)</f>
        <v>2868444.72</v>
      </c>
      <c r="P103" s="74">
        <f t="shared" ref="P103:U103" si="28">SUM(P98:P102)</f>
        <v>248123.37999999998</v>
      </c>
      <c r="Q103" s="74"/>
      <c r="R103" s="103">
        <f t="shared" si="28"/>
        <v>925929.08</v>
      </c>
      <c r="S103" s="185"/>
      <c r="T103" s="185">
        <f t="shared" si="28"/>
        <v>4042497.1799999997</v>
      </c>
      <c r="U103" s="185">
        <f t="shared" si="28"/>
        <v>4042497.1799999997</v>
      </c>
      <c r="W103" s="192">
        <f>T113-W100</f>
        <v>-657106.03999999166</v>
      </c>
    </row>
    <row r="104" spans="1:23" ht="100.2" customHeight="1">
      <c r="A104" s="355"/>
      <c r="B104" s="137" t="s">
        <v>240</v>
      </c>
      <c r="C104" s="61" t="s">
        <v>187</v>
      </c>
      <c r="D104" s="64" t="s">
        <v>101</v>
      </c>
      <c r="E104" s="122">
        <v>1015</v>
      </c>
      <c r="F104" s="122">
        <v>1015</v>
      </c>
      <c r="G104" s="123">
        <f t="shared" si="19"/>
        <v>1015</v>
      </c>
      <c r="H104" s="60">
        <v>1015</v>
      </c>
      <c r="I104" s="60">
        <v>1015</v>
      </c>
      <c r="J104" s="75">
        <f>K104</f>
        <v>3978.73</v>
      </c>
      <c r="K104" s="46">
        <v>3978.73</v>
      </c>
      <c r="L104" s="184" t="s">
        <v>104</v>
      </c>
      <c r="M104" s="72" t="s">
        <v>104</v>
      </c>
      <c r="N104" s="73">
        <f>SUM(O104:R104)</f>
        <v>4038410.95</v>
      </c>
      <c r="O104" s="73">
        <f>K104*G104</f>
        <v>4038410.95</v>
      </c>
      <c r="P104" s="73" t="s">
        <v>104</v>
      </c>
      <c r="Q104" s="73"/>
      <c r="R104" s="73" t="s">
        <v>104</v>
      </c>
      <c r="S104" s="208"/>
      <c r="T104" s="46">
        <f>N104</f>
        <v>4038410.95</v>
      </c>
      <c r="U104" s="46">
        <f t="shared" ref="U104:U111" si="29">T104</f>
        <v>4038410.95</v>
      </c>
    </row>
    <row r="105" spans="1:23">
      <c r="A105" s="355"/>
      <c r="B105" s="69"/>
      <c r="C105" s="294" t="s">
        <v>106</v>
      </c>
      <c r="D105" s="69"/>
      <c r="E105" s="122">
        <f>SUM(E104:E104)</f>
        <v>1015</v>
      </c>
      <c r="F105" s="122">
        <f>SUM(F104:F104)</f>
        <v>1015</v>
      </c>
      <c r="G105" s="122">
        <f>SUM(G104:G104)</f>
        <v>1015</v>
      </c>
      <c r="H105" s="60">
        <f>SUM(H104:H104)</f>
        <v>1015</v>
      </c>
      <c r="I105" s="60">
        <f>SUM(I104:I104)</f>
        <v>1015</v>
      </c>
      <c r="J105" s="73" t="s">
        <v>104</v>
      </c>
      <c r="K105" s="208" t="s">
        <v>104</v>
      </c>
      <c r="L105" s="185" t="s">
        <v>104</v>
      </c>
      <c r="M105" s="74">
        <f t="shared" ref="M105:R105" si="30">SUM(M104:M104)</f>
        <v>0</v>
      </c>
      <c r="N105" s="103">
        <f t="shared" si="30"/>
        <v>4038410.95</v>
      </c>
      <c r="O105" s="74">
        <f>SUM(O104:O104)</f>
        <v>4038410.95</v>
      </c>
      <c r="P105" s="74">
        <f t="shared" si="30"/>
        <v>0</v>
      </c>
      <c r="Q105" s="74"/>
      <c r="R105" s="74">
        <f t="shared" si="30"/>
        <v>0</v>
      </c>
      <c r="S105" s="185"/>
      <c r="T105" s="46">
        <f>N105</f>
        <v>4038410.95</v>
      </c>
      <c r="U105" s="46">
        <f t="shared" si="29"/>
        <v>4038410.95</v>
      </c>
    </row>
    <row r="106" spans="1:23" ht="13.95" hidden="1" customHeight="1">
      <c r="A106" s="355"/>
      <c r="B106" s="69" t="s">
        <v>284</v>
      </c>
      <c r="C106" s="181" t="s">
        <v>226</v>
      </c>
      <c r="D106" s="69"/>
      <c r="E106" s="122"/>
      <c r="F106" s="122"/>
      <c r="G106" s="122"/>
      <c r="H106" s="60"/>
      <c r="I106" s="60"/>
      <c r="J106" s="73"/>
      <c r="K106" s="208"/>
      <c r="L106" s="185"/>
      <c r="M106" s="74"/>
      <c r="N106" s="74">
        <f>P106</f>
        <v>0</v>
      </c>
      <c r="O106" s="74"/>
      <c r="P106" s="74"/>
      <c r="Q106" s="74"/>
      <c r="R106" s="74"/>
      <c r="S106" s="185"/>
      <c r="T106" s="46">
        <f>P106</f>
        <v>0</v>
      </c>
      <c r="U106" s="46">
        <f t="shared" si="29"/>
        <v>0</v>
      </c>
    </row>
    <row r="107" spans="1:23" ht="13.95" hidden="1" customHeight="1">
      <c r="A107" s="355"/>
      <c r="B107" s="89" t="s">
        <v>225</v>
      </c>
      <c r="C107" s="181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08"/>
      <c r="L107" s="185"/>
      <c r="M107" s="74"/>
      <c r="N107" s="74">
        <f>S107</f>
        <v>0</v>
      </c>
      <c r="O107" s="74"/>
      <c r="P107" s="74"/>
      <c r="Q107" s="74"/>
      <c r="R107" s="74"/>
      <c r="S107" s="185"/>
      <c r="T107" s="46">
        <f>S107</f>
        <v>0</v>
      </c>
      <c r="U107" s="46">
        <f t="shared" si="29"/>
        <v>0</v>
      </c>
    </row>
    <row r="108" spans="1:23" ht="13.95" hidden="1" customHeight="1">
      <c r="A108" s="355"/>
      <c r="B108" s="89" t="s">
        <v>225</v>
      </c>
      <c r="C108" s="181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08"/>
      <c r="L108" s="185"/>
      <c r="M108" s="74"/>
      <c r="N108" s="74">
        <f>Q108</f>
        <v>0</v>
      </c>
      <c r="O108" s="74"/>
      <c r="P108" s="74"/>
      <c r="Q108" s="74"/>
      <c r="R108" s="74"/>
      <c r="S108" s="185"/>
      <c r="T108" s="46"/>
      <c r="U108" s="46">
        <f t="shared" si="29"/>
        <v>0</v>
      </c>
      <c r="V108" s="192">
        <f>Q108-T108</f>
        <v>0</v>
      </c>
    </row>
    <row r="109" spans="1:23" ht="13.95" hidden="1" customHeight="1">
      <c r="A109" s="355"/>
      <c r="B109" s="89" t="s">
        <v>283</v>
      </c>
      <c r="C109" s="181" t="s">
        <v>219</v>
      </c>
      <c r="D109" s="64"/>
      <c r="E109" s="122"/>
      <c r="F109" s="122"/>
      <c r="G109" s="122"/>
      <c r="H109" s="60"/>
      <c r="I109" s="60"/>
      <c r="J109" s="73"/>
      <c r="K109" s="208"/>
      <c r="L109" s="185"/>
      <c r="M109" s="74"/>
      <c r="N109" s="74">
        <f>O109+P109+Q109+R109+S109</f>
        <v>0</v>
      </c>
      <c r="O109" s="74"/>
      <c r="P109" s="74"/>
      <c r="Q109" s="74"/>
      <c r="R109" s="74"/>
      <c r="S109" s="185"/>
      <c r="T109" s="46"/>
      <c r="U109" s="46"/>
    </row>
    <row r="110" spans="1:23">
      <c r="A110" s="355"/>
      <c r="B110" s="89" t="s">
        <v>290</v>
      </c>
      <c r="C110" s="181" t="s">
        <v>226</v>
      </c>
      <c r="D110" s="64"/>
      <c r="E110" s="122">
        <v>20</v>
      </c>
      <c r="F110" s="122">
        <v>20</v>
      </c>
      <c r="G110" s="122">
        <v>20</v>
      </c>
      <c r="H110" s="60">
        <v>20</v>
      </c>
      <c r="I110" s="60">
        <v>20</v>
      </c>
      <c r="J110" s="73"/>
      <c r="K110" s="208"/>
      <c r="L110" s="185"/>
      <c r="M110" s="74"/>
      <c r="N110" s="74">
        <f>O110</f>
        <v>2343600</v>
      </c>
      <c r="O110" s="74">
        <v>2343600</v>
      </c>
      <c r="P110" s="74"/>
      <c r="Q110" s="74"/>
      <c r="R110" s="74"/>
      <c r="S110" s="185"/>
      <c r="T110" s="46">
        <v>2343600</v>
      </c>
      <c r="U110" s="46">
        <f>T110</f>
        <v>2343600</v>
      </c>
    </row>
    <row r="111" spans="1:23" ht="13.95" hidden="1" customHeight="1">
      <c r="A111" s="355"/>
      <c r="B111" s="89" t="s">
        <v>257</v>
      </c>
      <c r="C111" s="181" t="s">
        <v>226</v>
      </c>
      <c r="D111" s="64"/>
      <c r="E111" s="122"/>
      <c r="F111" s="122"/>
      <c r="G111" s="122"/>
      <c r="H111" s="60"/>
      <c r="I111" s="60"/>
      <c r="J111" s="73"/>
      <c r="K111" s="208"/>
      <c r="L111" s="185"/>
      <c r="M111" s="74"/>
      <c r="N111" s="74">
        <f>O111+P111+Q111+R111+S111</f>
        <v>0</v>
      </c>
      <c r="O111" s="74"/>
      <c r="P111" s="74"/>
      <c r="Q111" s="74"/>
      <c r="R111" s="74"/>
      <c r="S111" s="185"/>
      <c r="T111" s="46">
        <f>O111</f>
        <v>0</v>
      </c>
      <c r="U111" s="46">
        <f t="shared" si="29"/>
        <v>0</v>
      </c>
    </row>
    <row r="112" spans="1:23" ht="13.95" hidden="1" customHeight="1">
      <c r="A112" s="355"/>
      <c r="B112" s="89" t="s">
        <v>291</v>
      </c>
      <c r="C112" s="181" t="s">
        <v>226</v>
      </c>
      <c r="D112" s="64"/>
      <c r="E112" s="122"/>
      <c r="F112" s="122"/>
      <c r="G112" s="122"/>
      <c r="H112" s="60"/>
      <c r="I112" s="60"/>
      <c r="J112" s="73"/>
      <c r="K112" s="208"/>
      <c r="L112" s="185"/>
      <c r="M112" s="74"/>
      <c r="N112" s="74">
        <f>P112</f>
        <v>0</v>
      </c>
      <c r="O112" s="74"/>
      <c r="P112" s="74"/>
      <c r="Q112" s="74"/>
      <c r="R112" s="74"/>
      <c r="S112" s="185"/>
      <c r="T112" s="46"/>
      <c r="U112" s="46">
        <f>T112</f>
        <v>0</v>
      </c>
    </row>
    <row r="113" spans="1:26">
      <c r="A113" s="355"/>
      <c r="B113" s="101" t="s">
        <v>112</v>
      </c>
      <c r="C113" s="101"/>
      <c r="D113" s="69"/>
      <c r="E113" s="215">
        <f>E90+E97+E103</f>
        <v>528</v>
      </c>
      <c r="F113" s="102">
        <f>F90+F97+F103</f>
        <v>528</v>
      </c>
      <c r="G113" s="215">
        <f>G90+G97+G103</f>
        <v>528</v>
      </c>
      <c r="H113" s="102">
        <f>H90+H97+H103</f>
        <v>528</v>
      </c>
      <c r="I113" s="102">
        <f>I90+I97+I103</f>
        <v>528</v>
      </c>
      <c r="J113" s="104"/>
      <c r="K113" s="222"/>
      <c r="L113" s="138"/>
      <c r="M113" s="103"/>
      <c r="N113" s="103">
        <f>SUM(O113:S113)</f>
        <v>34923570.43</v>
      </c>
      <c r="O113" s="103">
        <f>O90+O97+O103+O105+O110+O111</f>
        <v>25160754.530000001</v>
      </c>
      <c r="P113" s="103">
        <f>P90+P97+P103+P105+P106+P107+P108+P112</f>
        <v>2113050.7199999997</v>
      </c>
      <c r="Q113" s="103">
        <f>Q90+Q97+Q103+Q105+Q106+Q107+Q108</f>
        <v>0</v>
      </c>
      <c r="R113" s="103">
        <f>R90+R97+R103+R105+R106+R107+R108+R109</f>
        <v>7649765.1799999997</v>
      </c>
      <c r="S113" s="138">
        <f>S90+S97+S103+S105+S106+S107+S108+S109</f>
        <v>0</v>
      </c>
      <c r="T113" s="138">
        <f>T90+T97+T103+T105+T106+T107+T108+T109+T110+T111+T112</f>
        <v>34923570.430000007</v>
      </c>
      <c r="U113" s="138">
        <f>U90+U97+U103+U105+U106+U107+U108+U109+U110+U111+U112</f>
        <v>34923570.430000007</v>
      </c>
      <c r="V113" s="192">
        <v>6249649.4699999997</v>
      </c>
      <c r="W113" s="192">
        <f>V113-R113</f>
        <v>-1400115.71</v>
      </c>
      <c r="X113" s="182">
        <f>W113/535</f>
        <v>-2617.0387102803738</v>
      </c>
      <c r="Z113" s="192"/>
    </row>
    <row r="114" spans="1:26" ht="82.95" customHeight="1">
      <c r="A114" s="355" t="s">
        <v>115</v>
      </c>
      <c r="B114" s="356" t="s">
        <v>237</v>
      </c>
      <c r="C114" s="61" t="s">
        <v>100</v>
      </c>
      <c r="D114" s="62" t="s">
        <v>101</v>
      </c>
      <c r="E114" s="123">
        <v>217</v>
      </c>
      <c r="F114" s="123">
        <v>217</v>
      </c>
      <c r="G114" s="123">
        <f>((E114*8)+(F114*4))/12</f>
        <v>217</v>
      </c>
      <c r="H114" s="59">
        <v>217</v>
      </c>
      <c r="I114" s="59">
        <v>217</v>
      </c>
      <c r="J114" s="107">
        <f>SUM(K114:M114)</f>
        <v>42926.31</v>
      </c>
      <c r="K114" s="221">
        <f>23258.45+1351.63</f>
        <v>24610.080000000002</v>
      </c>
      <c r="L114" s="212">
        <f>4001.99</f>
        <v>4001.99</v>
      </c>
      <c r="M114" s="70">
        <v>14314.24</v>
      </c>
      <c r="N114" s="71">
        <f>SUM(O114:R114)</f>
        <v>9315009.6000000015</v>
      </c>
      <c r="O114" s="71">
        <f>G114*K114</f>
        <v>5340387.3600000003</v>
      </c>
      <c r="P114" s="71">
        <f>G114*L114</f>
        <v>868431.83</v>
      </c>
      <c r="Q114" s="71"/>
      <c r="R114" s="75">
        <f>G114*M114+0.33</f>
        <v>3106190.41</v>
      </c>
      <c r="S114" s="46"/>
      <c r="T114" s="46">
        <f>N114</f>
        <v>9315009.6000000015</v>
      </c>
      <c r="U114" s="46">
        <f>T114</f>
        <v>9315009.6000000015</v>
      </c>
    </row>
    <row r="115" spans="1:26" ht="82.8">
      <c r="A115" s="355"/>
      <c r="B115" s="356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59" t="s">
        <v>104</v>
      </c>
      <c r="N115" s="71"/>
      <c r="O115" s="71"/>
      <c r="P115" s="59" t="s">
        <v>104</v>
      </c>
      <c r="Q115" s="59"/>
      <c r="R115" s="59" t="s">
        <v>104</v>
      </c>
      <c r="S115" s="123"/>
      <c r="T115" s="46"/>
      <c r="U115" s="46"/>
    </row>
    <row r="116" spans="1:26">
      <c r="A116" s="355"/>
      <c r="B116" s="356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1">K116</f>
        <v>25714.959999999999</v>
      </c>
      <c r="K116" s="206">
        <v>25714.959999999999</v>
      </c>
      <c r="L116" s="123" t="s">
        <v>104</v>
      </c>
      <c r="M116" s="59" t="s">
        <v>104</v>
      </c>
      <c r="N116" s="71">
        <f t="shared" ref="N116:N122" si="32">O116</f>
        <v>0</v>
      </c>
      <c r="O116" s="71">
        <f>G116*K116</f>
        <v>0</v>
      </c>
      <c r="P116" s="59" t="s">
        <v>104</v>
      </c>
      <c r="Q116" s="59"/>
      <c r="R116" s="59" t="s">
        <v>104</v>
      </c>
      <c r="S116" s="123"/>
      <c r="T116" s="46">
        <f t="shared" ref="T116:T122" si="33">H116*K116</f>
        <v>0</v>
      </c>
      <c r="U116" s="46">
        <f t="shared" ref="U116:U122" si="34">I116*K116</f>
        <v>0</v>
      </c>
    </row>
    <row r="117" spans="1:26">
      <c r="A117" s="355"/>
      <c r="B117" s="356"/>
      <c r="C117" s="63" t="s">
        <v>169</v>
      </c>
      <c r="D117" s="64" t="s">
        <v>101</v>
      </c>
      <c r="E117" s="123">
        <v>11</v>
      </c>
      <c r="F117" s="123">
        <v>11</v>
      </c>
      <c r="G117" s="123">
        <f t="shared" ref="G117:G134" si="35">((E117*8)+(F117*4))/12</f>
        <v>11</v>
      </c>
      <c r="H117" s="59">
        <v>11</v>
      </c>
      <c r="I117" s="59">
        <v>11</v>
      </c>
      <c r="J117" s="75">
        <f t="shared" si="31"/>
        <v>69482.740000000005</v>
      </c>
      <c r="K117" s="206">
        <v>69482.740000000005</v>
      </c>
      <c r="L117" s="123" t="s">
        <v>104</v>
      </c>
      <c r="M117" s="59" t="s">
        <v>104</v>
      </c>
      <c r="N117" s="71">
        <f t="shared" si="32"/>
        <v>764310.14</v>
      </c>
      <c r="O117" s="71">
        <f t="shared" ref="O117:O122" si="36">G117*K117</f>
        <v>764310.14</v>
      </c>
      <c r="P117" s="59" t="s">
        <v>104</v>
      </c>
      <c r="Q117" s="59"/>
      <c r="R117" s="59" t="s">
        <v>104</v>
      </c>
      <c r="S117" s="123"/>
      <c r="T117" s="46">
        <f t="shared" si="33"/>
        <v>764310.14</v>
      </c>
      <c r="U117" s="46">
        <f t="shared" si="34"/>
        <v>764310.14</v>
      </c>
    </row>
    <row r="118" spans="1:26">
      <c r="A118" s="355"/>
      <c r="B118" s="356"/>
      <c r="C118" s="63" t="s">
        <v>165</v>
      </c>
      <c r="D118" s="64" t="s">
        <v>101</v>
      </c>
      <c r="E118" s="123">
        <v>1</v>
      </c>
      <c r="F118" s="123">
        <v>1</v>
      </c>
      <c r="G118" s="123">
        <f t="shared" si="35"/>
        <v>1</v>
      </c>
      <c r="H118" s="59">
        <v>1</v>
      </c>
      <c r="I118" s="59">
        <v>1</v>
      </c>
      <c r="J118" s="75">
        <f t="shared" si="31"/>
        <v>92591.35</v>
      </c>
      <c r="K118" s="206">
        <v>92591.35</v>
      </c>
      <c r="L118" s="123" t="s">
        <v>104</v>
      </c>
      <c r="M118" s="59" t="s">
        <v>104</v>
      </c>
      <c r="N118" s="71">
        <f t="shared" si="32"/>
        <v>92591.35</v>
      </c>
      <c r="O118" s="71">
        <f t="shared" si="36"/>
        <v>92591.35</v>
      </c>
      <c r="P118" s="59" t="s">
        <v>104</v>
      </c>
      <c r="Q118" s="59"/>
      <c r="R118" s="59" t="s">
        <v>104</v>
      </c>
      <c r="S118" s="123"/>
      <c r="T118" s="46">
        <f t="shared" si="33"/>
        <v>92591.35</v>
      </c>
      <c r="U118" s="46">
        <f t="shared" si="34"/>
        <v>92591.35</v>
      </c>
    </row>
    <row r="119" spans="1:26">
      <c r="A119" s="355"/>
      <c r="B119" s="356"/>
      <c r="C119" s="63" t="s">
        <v>166</v>
      </c>
      <c r="D119" s="64" t="s">
        <v>101</v>
      </c>
      <c r="E119" s="123">
        <v>16</v>
      </c>
      <c r="F119" s="123">
        <v>16</v>
      </c>
      <c r="G119" s="123">
        <f t="shared" si="35"/>
        <v>16</v>
      </c>
      <c r="H119" s="59">
        <v>16</v>
      </c>
      <c r="I119" s="59">
        <v>16</v>
      </c>
      <c r="J119" s="75">
        <f t="shared" si="31"/>
        <v>66481.399999999994</v>
      </c>
      <c r="K119" s="46">
        <v>66481.399999999994</v>
      </c>
      <c r="L119" s="123" t="s">
        <v>104</v>
      </c>
      <c r="M119" s="59" t="s">
        <v>104</v>
      </c>
      <c r="N119" s="71">
        <f t="shared" si="32"/>
        <v>1063702.3999999999</v>
      </c>
      <c r="O119" s="71">
        <f t="shared" si="36"/>
        <v>1063702.3999999999</v>
      </c>
      <c r="P119" s="59" t="s">
        <v>104</v>
      </c>
      <c r="Q119" s="59"/>
      <c r="R119" s="59" t="s">
        <v>104</v>
      </c>
      <c r="S119" s="123"/>
      <c r="T119" s="46">
        <f t="shared" si="33"/>
        <v>1063702.3999999999</v>
      </c>
      <c r="U119" s="46">
        <f t="shared" si="34"/>
        <v>1063702.3999999999</v>
      </c>
    </row>
    <row r="120" spans="1:26">
      <c r="A120" s="355"/>
      <c r="B120" s="356"/>
      <c r="C120" s="63" t="s">
        <v>167</v>
      </c>
      <c r="D120" s="64" t="s">
        <v>101</v>
      </c>
      <c r="E120" s="123"/>
      <c r="F120" s="123"/>
      <c r="G120" s="123">
        <f t="shared" si="35"/>
        <v>0</v>
      </c>
      <c r="H120" s="59"/>
      <c r="I120" s="59"/>
      <c r="J120" s="75">
        <f t="shared" si="31"/>
        <v>174992.98</v>
      </c>
      <c r="K120" s="46">
        <v>174992.98</v>
      </c>
      <c r="L120" s="123" t="s">
        <v>104</v>
      </c>
      <c r="M120" s="59" t="s">
        <v>104</v>
      </c>
      <c r="N120" s="71">
        <f t="shared" si="32"/>
        <v>0</v>
      </c>
      <c r="O120" s="71">
        <f t="shared" si="36"/>
        <v>0</v>
      </c>
      <c r="P120" s="59" t="s">
        <v>104</v>
      </c>
      <c r="Q120" s="59"/>
      <c r="R120" s="59" t="s">
        <v>104</v>
      </c>
      <c r="S120" s="123"/>
      <c r="T120" s="46">
        <f t="shared" si="33"/>
        <v>0</v>
      </c>
      <c r="U120" s="46">
        <f t="shared" si="34"/>
        <v>0</v>
      </c>
    </row>
    <row r="121" spans="1:26">
      <c r="A121" s="355"/>
      <c r="B121" s="356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5"/>
        <v>1</v>
      </c>
      <c r="H121" s="59">
        <v>1</v>
      </c>
      <c r="I121" s="59">
        <v>1</v>
      </c>
      <c r="J121" s="75">
        <f t="shared" si="31"/>
        <v>99770.92</v>
      </c>
      <c r="K121" s="46">
        <v>99770.92</v>
      </c>
      <c r="L121" s="123" t="s">
        <v>104</v>
      </c>
      <c r="M121" s="59" t="s">
        <v>104</v>
      </c>
      <c r="N121" s="71">
        <f t="shared" si="32"/>
        <v>99770.92</v>
      </c>
      <c r="O121" s="71">
        <f t="shared" si="36"/>
        <v>99770.92</v>
      </c>
      <c r="P121" s="59" t="s">
        <v>104</v>
      </c>
      <c r="Q121" s="59"/>
      <c r="R121" s="59" t="s">
        <v>104</v>
      </c>
      <c r="S121" s="123"/>
      <c r="T121" s="46">
        <f t="shared" si="33"/>
        <v>99770.92</v>
      </c>
      <c r="U121" s="46">
        <f t="shared" si="34"/>
        <v>99770.92</v>
      </c>
    </row>
    <row r="122" spans="1:26">
      <c r="A122" s="355"/>
      <c r="B122" s="356"/>
      <c r="C122" s="63" t="s">
        <v>168</v>
      </c>
      <c r="D122" s="64" t="s">
        <v>101</v>
      </c>
      <c r="E122" s="123"/>
      <c r="F122" s="123"/>
      <c r="G122" s="123">
        <f t="shared" si="35"/>
        <v>0</v>
      </c>
      <c r="H122" s="59"/>
      <c r="I122" s="59"/>
      <c r="J122" s="75">
        <f t="shared" si="31"/>
        <v>23678.79</v>
      </c>
      <c r="K122" s="46">
        <v>23678.79</v>
      </c>
      <c r="L122" s="123" t="s">
        <v>104</v>
      </c>
      <c r="M122" s="59" t="s">
        <v>104</v>
      </c>
      <c r="N122" s="71">
        <f t="shared" si="32"/>
        <v>0</v>
      </c>
      <c r="O122" s="71">
        <f t="shared" si="36"/>
        <v>0</v>
      </c>
      <c r="P122" s="59" t="s">
        <v>104</v>
      </c>
      <c r="Q122" s="59"/>
      <c r="R122" s="59" t="s">
        <v>104</v>
      </c>
      <c r="S122" s="123"/>
      <c r="T122" s="46">
        <f t="shared" si="33"/>
        <v>0</v>
      </c>
      <c r="U122" s="46">
        <f t="shared" si="34"/>
        <v>0</v>
      </c>
    </row>
    <row r="123" spans="1:26" ht="96.6">
      <c r="A123" s="355"/>
      <c r="B123" s="356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5"/>
        <v>5</v>
      </c>
      <c r="H123" s="59">
        <v>5</v>
      </c>
      <c r="I123" s="59">
        <v>5</v>
      </c>
      <c r="J123" s="75">
        <f>SUM(K123:M123)</f>
        <v>141179.59</v>
      </c>
      <c r="K123" s="46">
        <f>121511.73+1351.63</f>
        <v>122863.36</v>
      </c>
      <c r="L123" s="212">
        <f>4001.99</f>
        <v>4001.99</v>
      </c>
      <c r="M123" s="70">
        <v>14314.24</v>
      </c>
      <c r="N123" s="71">
        <f>SUM(O123:R123)</f>
        <v>705897.95</v>
      </c>
      <c r="O123" s="71">
        <f>G123*K123</f>
        <v>614316.80000000005</v>
      </c>
      <c r="P123" s="71">
        <f>G123*L123</f>
        <v>20009.949999999997</v>
      </c>
      <c r="Q123" s="71"/>
      <c r="R123" s="75">
        <f>G123*M123</f>
        <v>71571.199999999997</v>
      </c>
      <c r="S123" s="46"/>
      <c r="T123" s="46">
        <f>N123</f>
        <v>705897.95</v>
      </c>
      <c r="U123" s="46">
        <f>T123</f>
        <v>705897.95</v>
      </c>
    </row>
    <row r="124" spans="1:26">
      <c r="A124" s="355"/>
      <c r="B124" s="356"/>
      <c r="C124" s="294" t="s">
        <v>106</v>
      </c>
      <c r="D124" s="67"/>
      <c r="E124" s="123">
        <f>E114+E123</f>
        <v>222</v>
      </c>
      <c r="F124" s="123">
        <f>F114+F123</f>
        <v>222</v>
      </c>
      <c r="G124" s="123">
        <f>G114+G123</f>
        <v>222</v>
      </c>
      <c r="H124" s="59">
        <f>H114+H123</f>
        <v>222</v>
      </c>
      <c r="I124" s="59">
        <f>I114+I123</f>
        <v>222</v>
      </c>
      <c r="J124" s="71" t="s">
        <v>104</v>
      </c>
      <c r="K124" s="206" t="s">
        <v>104</v>
      </c>
      <c r="L124" s="206" t="s">
        <v>104</v>
      </c>
      <c r="M124" s="71" t="s">
        <v>104</v>
      </c>
      <c r="N124" s="118">
        <f>SUM(N114:N123)</f>
        <v>12041282.360000001</v>
      </c>
      <c r="O124" s="71">
        <f>SUM(O114:O123)</f>
        <v>7975078.9699999997</v>
      </c>
      <c r="P124" s="71">
        <f>SUM(P114:P123)</f>
        <v>888441.77999999991</v>
      </c>
      <c r="Q124" s="71"/>
      <c r="R124" s="118">
        <f>SUM(R114:R123)</f>
        <v>3177761.6100000003</v>
      </c>
      <c r="S124" s="206"/>
      <c r="T124" s="206">
        <f>SUM(T114:T123)</f>
        <v>12041282.360000001</v>
      </c>
      <c r="U124" s="206">
        <f>T124</f>
        <v>12041282.360000001</v>
      </c>
    </row>
    <row r="125" spans="1:26" ht="82.95" customHeight="1">
      <c r="A125" s="355"/>
      <c r="B125" s="356" t="s">
        <v>238</v>
      </c>
      <c r="C125" s="61" t="s">
        <v>100</v>
      </c>
      <c r="D125" s="62" t="s">
        <v>101</v>
      </c>
      <c r="E125" s="123">
        <v>252</v>
      </c>
      <c r="F125" s="123">
        <v>252</v>
      </c>
      <c r="G125" s="123">
        <f t="shared" si="35"/>
        <v>252</v>
      </c>
      <c r="H125" s="59">
        <v>252</v>
      </c>
      <c r="I125" s="59">
        <v>252</v>
      </c>
      <c r="J125" s="107">
        <f>SUM(K125:M125)</f>
        <v>54702.01</v>
      </c>
      <c r="K125" s="221">
        <f>34483.05+1649.65</f>
        <v>36132.700000000004</v>
      </c>
      <c r="L125" s="212">
        <f>4001.99</f>
        <v>4001.99</v>
      </c>
      <c r="M125" s="70">
        <v>14567.32</v>
      </c>
      <c r="N125" s="71">
        <f>SUM(O125:R125)</f>
        <v>13784906.520000001</v>
      </c>
      <c r="O125" s="71">
        <f>G125*K125</f>
        <v>9105440.4000000004</v>
      </c>
      <c r="P125" s="71">
        <f>G125*L125</f>
        <v>1008501.48</v>
      </c>
      <c r="Q125" s="71"/>
      <c r="R125" s="75">
        <f>G125*M125</f>
        <v>3670964.64</v>
      </c>
      <c r="S125" s="46"/>
      <c r="T125" s="46">
        <f>N125</f>
        <v>13784906.520000001</v>
      </c>
      <c r="U125" s="46">
        <f>T125</f>
        <v>13784906.520000001</v>
      </c>
    </row>
    <row r="126" spans="1:26" ht="82.8">
      <c r="A126" s="355"/>
      <c r="B126" s="356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59" t="s">
        <v>104</v>
      </c>
      <c r="N126" s="71"/>
      <c r="O126" s="71"/>
      <c r="P126" s="59" t="s">
        <v>104</v>
      </c>
      <c r="Q126" s="59"/>
      <c r="R126" s="59" t="s">
        <v>104</v>
      </c>
      <c r="S126" s="123"/>
      <c r="T126" s="46"/>
      <c r="U126" s="46"/>
    </row>
    <row r="127" spans="1:26">
      <c r="A127" s="355"/>
      <c r="B127" s="356"/>
      <c r="C127" s="63" t="s">
        <v>164</v>
      </c>
      <c r="D127" s="64" t="s">
        <v>101</v>
      </c>
      <c r="E127" s="122">
        <v>1</v>
      </c>
      <c r="F127" s="122">
        <v>1</v>
      </c>
      <c r="G127" s="123">
        <f t="shared" si="35"/>
        <v>1</v>
      </c>
      <c r="H127" s="60">
        <v>1</v>
      </c>
      <c r="I127" s="60">
        <v>1</v>
      </c>
      <c r="J127" s="75">
        <f>K127</f>
        <v>25714.959999999999</v>
      </c>
      <c r="K127" s="46">
        <v>25714.959999999999</v>
      </c>
      <c r="L127" s="123" t="s">
        <v>104</v>
      </c>
      <c r="M127" s="59" t="s">
        <v>104</v>
      </c>
      <c r="N127" s="71">
        <f>O127</f>
        <v>25714.959999999999</v>
      </c>
      <c r="O127" s="71">
        <f>G127*K127</f>
        <v>25714.959999999999</v>
      </c>
      <c r="P127" s="59" t="s">
        <v>104</v>
      </c>
      <c r="Q127" s="59"/>
      <c r="R127" s="59" t="s">
        <v>104</v>
      </c>
      <c r="S127" s="123"/>
      <c r="T127" s="46">
        <f>H127*K127</f>
        <v>25714.959999999999</v>
      </c>
      <c r="U127" s="46">
        <f>I127*K127</f>
        <v>25714.959999999999</v>
      </c>
    </row>
    <row r="128" spans="1:26">
      <c r="A128" s="355"/>
      <c r="B128" s="356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5"/>
        <v>2</v>
      </c>
      <c r="H128" s="60">
        <v>2</v>
      </c>
      <c r="I128" s="60">
        <v>2</v>
      </c>
      <c r="J128" s="75">
        <f>K128</f>
        <v>92591.35</v>
      </c>
      <c r="K128" s="46">
        <v>92591.35</v>
      </c>
      <c r="L128" s="123" t="s">
        <v>104</v>
      </c>
      <c r="M128" s="59" t="s">
        <v>104</v>
      </c>
      <c r="N128" s="71">
        <f>O128</f>
        <v>185182.7</v>
      </c>
      <c r="O128" s="71">
        <f t="shared" ref="O128:O131" si="37">G128*K128</f>
        <v>185182.7</v>
      </c>
      <c r="P128" s="59" t="s">
        <v>104</v>
      </c>
      <c r="Q128" s="59"/>
      <c r="R128" s="59" t="s">
        <v>104</v>
      </c>
      <c r="S128" s="123"/>
      <c r="T128" s="46">
        <f>H128*K128</f>
        <v>185182.7</v>
      </c>
      <c r="U128" s="46">
        <f>I128*K128</f>
        <v>185182.7</v>
      </c>
    </row>
    <row r="129" spans="1:23">
      <c r="A129" s="355"/>
      <c r="B129" s="356"/>
      <c r="C129" s="63" t="s">
        <v>167</v>
      </c>
      <c r="D129" s="64" t="s">
        <v>101</v>
      </c>
      <c r="E129" s="122">
        <v>1</v>
      </c>
      <c r="F129" s="122">
        <v>1</v>
      </c>
      <c r="G129" s="123">
        <f t="shared" si="35"/>
        <v>1</v>
      </c>
      <c r="H129" s="60">
        <v>1</v>
      </c>
      <c r="I129" s="60">
        <v>1</v>
      </c>
      <c r="J129" s="75">
        <f>K129</f>
        <v>264803.59999999998</v>
      </c>
      <c r="K129" s="46">
        <v>264803.59999999998</v>
      </c>
      <c r="L129" s="123" t="s">
        <v>104</v>
      </c>
      <c r="M129" s="59" t="s">
        <v>104</v>
      </c>
      <c r="N129" s="71">
        <f>O129</f>
        <v>264803.59999999998</v>
      </c>
      <c r="O129" s="71">
        <f t="shared" si="37"/>
        <v>264803.59999999998</v>
      </c>
      <c r="P129" s="59" t="s">
        <v>104</v>
      </c>
      <c r="Q129" s="59"/>
      <c r="R129" s="59"/>
      <c r="S129" s="123"/>
      <c r="T129" s="46">
        <f>H129*K129</f>
        <v>264803.59999999998</v>
      </c>
      <c r="U129" s="46">
        <f>I129*K129</f>
        <v>264803.59999999998</v>
      </c>
    </row>
    <row r="130" spans="1:23">
      <c r="A130" s="355"/>
      <c r="B130" s="356"/>
      <c r="C130" s="63" t="s">
        <v>170</v>
      </c>
      <c r="D130" s="64" t="s">
        <v>101</v>
      </c>
      <c r="E130" s="122"/>
      <c r="F130" s="122"/>
      <c r="G130" s="123">
        <f t="shared" si="35"/>
        <v>0</v>
      </c>
      <c r="H130" s="60"/>
      <c r="I130" s="60"/>
      <c r="J130" s="75">
        <f>K130</f>
        <v>32894.53</v>
      </c>
      <c r="K130" s="46">
        <v>32894.53</v>
      </c>
      <c r="L130" s="123" t="s">
        <v>104</v>
      </c>
      <c r="M130" s="59" t="s">
        <v>104</v>
      </c>
      <c r="N130" s="71">
        <f>O130</f>
        <v>0</v>
      </c>
      <c r="O130" s="71">
        <f t="shared" si="37"/>
        <v>0</v>
      </c>
      <c r="P130" s="59" t="s">
        <v>104</v>
      </c>
      <c r="Q130" s="59"/>
      <c r="R130" s="59"/>
      <c r="S130" s="123"/>
      <c r="T130" s="46">
        <f>H130*K130</f>
        <v>0</v>
      </c>
      <c r="U130" s="46">
        <f>I130*K130</f>
        <v>0</v>
      </c>
    </row>
    <row r="131" spans="1:23">
      <c r="A131" s="355"/>
      <c r="B131" s="356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5"/>
        <v>1</v>
      </c>
      <c r="H131" s="60">
        <v>1</v>
      </c>
      <c r="I131" s="60">
        <v>1</v>
      </c>
      <c r="J131" s="75">
        <f>K131</f>
        <v>23678.79</v>
      </c>
      <c r="K131" s="46">
        <v>23678.79</v>
      </c>
      <c r="L131" s="123" t="s">
        <v>104</v>
      </c>
      <c r="M131" s="59" t="s">
        <v>104</v>
      </c>
      <c r="N131" s="71">
        <f>O131</f>
        <v>23678.79</v>
      </c>
      <c r="O131" s="71">
        <f t="shared" si="37"/>
        <v>23678.79</v>
      </c>
      <c r="P131" s="59" t="s">
        <v>104</v>
      </c>
      <c r="Q131" s="59"/>
      <c r="R131" s="59" t="s">
        <v>104</v>
      </c>
      <c r="S131" s="123"/>
      <c r="T131" s="46">
        <f>H131*K131</f>
        <v>23678.79</v>
      </c>
      <c r="U131" s="46">
        <f>I131*K131</f>
        <v>23678.79</v>
      </c>
    </row>
    <row r="132" spans="1:23" ht="96.6">
      <c r="A132" s="355"/>
      <c r="B132" s="356"/>
      <c r="C132" s="61" t="s">
        <v>105</v>
      </c>
      <c r="D132" s="64" t="s">
        <v>101</v>
      </c>
      <c r="E132" s="122">
        <v>2</v>
      </c>
      <c r="F132" s="122">
        <v>2</v>
      </c>
      <c r="G132" s="123">
        <f t="shared" si="35"/>
        <v>2</v>
      </c>
      <c r="H132" s="60">
        <v>2</v>
      </c>
      <c r="I132" s="60">
        <v>2</v>
      </c>
      <c r="J132" s="75">
        <f>SUM(K132:M132)</f>
        <v>171714.25</v>
      </c>
      <c r="K132" s="46">
        <f>151495.29+1649.65</f>
        <v>153144.94</v>
      </c>
      <c r="L132" s="212">
        <f>4001.99</f>
        <v>4001.99</v>
      </c>
      <c r="M132" s="70">
        <v>14567.32</v>
      </c>
      <c r="N132" s="73">
        <f>SUM(O132:R132)</f>
        <v>343428.5</v>
      </c>
      <c r="O132" s="71">
        <f>G132*K132</f>
        <v>306289.88</v>
      </c>
      <c r="P132" s="73">
        <f>G132*L132</f>
        <v>8003.98</v>
      </c>
      <c r="Q132" s="73"/>
      <c r="R132" s="75">
        <f>G132*M132</f>
        <v>29134.639999999999</v>
      </c>
      <c r="S132" s="46"/>
      <c r="T132" s="46">
        <f>N132</f>
        <v>343428.5</v>
      </c>
      <c r="U132" s="46">
        <f>T132</f>
        <v>343428.5</v>
      </c>
    </row>
    <row r="133" spans="1:23">
      <c r="A133" s="355"/>
      <c r="B133" s="275"/>
      <c r="C133" s="294" t="s">
        <v>106</v>
      </c>
      <c r="D133" s="64"/>
      <c r="E133" s="122">
        <f>E125+E132</f>
        <v>254</v>
      </c>
      <c r="F133" s="122">
        <f>F125+F132</f>
        <v>254</v>
      </c>
      <c r="G133" s="122">
        <f>G125+G132</f>
        <v>254</v>
      </c>
      <c r="H133" s="60">
        <f>H125+H132</f>
        <v>254</v>
      </c>
      <c r="I133" s="60">
        <f>I125+I132</f>
        <v>254</v>
      </c>
      <c r="J133" s="73" t="s">
        <v>104</v>
      </c>
      <c r="K133" s="208" t="s">
        <v>104</v>
      </c>
      <c r="L133" s="208" t="s">
        <v>104</v>
      </c>
      <c r="M133" s="73" t="s">
        <v>104</v>
      </c>
      <c r="N133" s="103">
        <f>SUM(N125:N132)</f>
        <v>14627715.07</v>
      </c>
      <c r="O133" s="74">
        <f>SUM(O125:O132)</f>
        <v>9911110.3300000001</v>
      </c>
      <c r="P133" s="74">
        <f>SUM(P125:P132)</f>
        <v>1016505.46</v>
      </c>
      <c r="Q133" s="74"/>
      <c r="R133" s="103">
        <f>SUM(R125:R132)</f>
        <v>3700099.2800000003</v>
      </c>
      <c r="S133" s="185"/>
      <c r="T133" s="185">
        <f>SUM(T125:T132)</f>
        <v>14627715.07</v>
      </c>
      <c r="U133" s="185">
        <f>SUM(U125:U132)</f>
        <v>14627715.07</v>
      </c>
    </row>
    <row r="134" spans="1:23" ht="82.95" customHeight="1">
      <c r="A134" s="355"/>
      <c r="B134" s="356" t="s">
        <v>239</v>
      </c>
      <c r="C134" s="61" t="s">
        <v>100</v>
      </c>
      <c r="D134" s="62" t="s">
        <v>101</v>
      </c>
      <c r="E134" s="122">
        <v>34</v>
      </c>
      <c r="F134" s="122">
        <v>34</v>
      </c>
      <c r="G134" s="123">
        <f t="shared" si="35"/>
        <v>34</v>
      </c>
      <c r="H134" s="60">
        <v>34</v>
      </c>
      <c r="I134" s="60">
        <v>34</v>
      </c>
      <c r="J134" s="107">
        <f>SUM(K134:M134)</f>
        <v>62175.83</v>
      </c>
      <c r="K134" s="221">
        <f>41240.72+1998.78</f>
        <v>43239.5</v>
      </c>
      <c r="L134" s="212">
        <f>4001.99</f>
        <v>4001.99</v>
      </c>
      <c r="M134" s="70">
        <v>14934.34</v>
      </c>
      <c r="N134" s="73">
        <f>SUM(O134:R134)</f>
        <v>2113978.2199999997</v>
      </c>
      <c r="O134" s="73">
        <f>G134*K134</f>
        <v>1470143</v>
      </c>
      <c r="P134" s="73">
        <f>G134*L134</f>
        <v>136067.66</v>
      </c>
      <c r="Q134" s="73"/>
      <c r="R134" s="75">
        <f>G134*M134</f>
        <v>507767.56</v>
      </c>
      <c r="S134" s="46"/>
      <c r="T134" s="46">
        <f>N134</f>
        <v>2113978.2199999997</v>
      </c>
      <c r="U134" s="46">
        <f>T134</f>
        <v>2113978.2199999997</v>
      </c>
    </row>
    <row r="135" spans="1:23" ht="82.8">
      <c r="A135" s="355"/>
      <c r="B135" s="356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59" t="s">
        <v>104</v>
      </c>
      <c r="N135" s="71"/>
      <c r="O135" s="71"/>
      <c r="P135" s="59" t="s">
        <v>104</v>
      </c>
      <c r="Q135" s="59"/>
      <c r="R135" s="59" t="s">
        <v>104</v>
      </c>
      <c r="S135" s="123"/>
      <c r="T135" s="46"/>
      <c r="U135" s="46"/>
    </row>
    <row r="136" spans="1:23">
      <c r="A136" s="355"/>
      <c r="B136" s="356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92591.35</v>
      </c>
      <c r="K136" s="46">
        <v>92591.35</v>
      </c>
      <c r="L136" s="123" t="s">
        <v>104</v>
      </c>
      <c r="M136" s="59" t="s">
        <v>104</v>
      </c>
      <c r="N136" s="71">
        <f>O136</f>
        <v>0</v>
      </c>
      <c r="O136" s="71">
        <f>G136*K136</f>
        <v>0</v>
      </c>
      <c r="P136" s="59" t="s">
        <v>104</v>
      </c>
      <c r="Q136" s="59"/>
      <c r="R136" s="59" t="s">
        <v>104</v>
      </c>
      <c r="S136" s="123"/>
      <c r="T136" s="46">
        <f>H136*K136</f>
        <v>0</v>
      </c>
      <c r="U136" s="46">
        <f>I136*K136</f>
        <v>0</v>
      </c>
    </row>
    <row r="137" spans="1:23" ht="96.6">
      <c r="A137" s="355"/>
      <c r="B137" s="356"/>
      <c r="C137" s="61" t="s">
        <v>105</v>
      </c>
      <c r="D137" s="64" t="s">
        <v>101</v>
      </c>
      <c r="E137" s="122"/>
      <c r="F137" s="122">
        <v>0</v>
      </c>
      <c r="G137" s="214">
        <f>((E137*8)+(F137*4))/12</f>
        <v>0</v>
      </c>
      <c r="H137" s="60">
        <v>0</v>
      </c>
      <c r="I137" s="60">
        <v>0</v>
      </c>
      <c r="J137" s="75">
        <f>SUM(K137:M137)</f>
        <v>187479.62999999998</v>
      </c>
      <c r="K137" s="46">
        <f>181478.86+1998.78</f>
        <v>183477.63999999998</v>
      </c>
      <c r="L137" s="212">
        <f>4001.99</f>
        <v>4001.99</v>
      </c>
      <c r="M137" s="70">
        <v>0</v>
      </c>
      <c r="N137" s="73"/>
      <c r="O137" s="73">
        <f>K137*G137</f>
        <v>0</v>
      </c>
      <c r="P137" s="73">
        <f>L137*G137</f>
        <v>0</v>
      </c>
      <c r="Q137" s="73"/>
      <c r="R137" s="73"/>
      <c r="S137" s="208"/>
      <c r="T137" s="46">
        <f>H137*J137</f>
        <v>0</v>
      </c>
      <c r="U137" s="46">
        <f>I137*J137</f>
        <v>0</v>
      </c>
    </row>
    <row r="138" spans="1:23">
      <c r="A138" s="355"/>
      <c r="B138" s="275"/>
      <c r="C138" s="294" t="s">
        <v>106</v>
      </c>
      <c r="D138" s="64"/>
      <c r="E138" s="122">
        <f>E134+E137</f>
        <v>34</v>
      </c>
      <c r="F138" s="122">
        <f>F134+F137</f>
        <v>34</v>
      </c>
      <c r="G138" s="122">
        <f>G134+G137</f>
        <v>34</v>
      </c>
      <c r="H138" s="60">
        <f>H134+H137</f>
        <v>34</v>
      </c>
      <c r="I138" s="60">
        <f>I134+I137</f>
        <v>34</v>
      </c>
      <c r="J138" s="73" t="s">
        <v>104</v>
      </c>
      <c r="K138" s="208" t="s">
        <v>104</v>
      </c>
      <c r="L138" s="208" t="s">
        <v>104</v>
      </c>
      <c r="M138" s="73" t="s">
        <v>104</v>
      </c>
      <c r="N138" s="103">
        <f>SUM(N134:N137)</f>
        <v>2113978.2199999997</v>
      </c>
      <c r="O138" s="74">
        <f>SUM(O134:O137)</f>
        <v>1470143</v>
      </c>
      <c r="P138" s="74">
        <f>SUM(P134:P137)</f>
        <v>136067.66</v>
      </c>
      <c r="Q138" s="74"/>
      <c r="R138" s="103">
        <f>SUM(R134:R137)</f>
        <v>507767.56</v>
      </c>
      <c r="S138" s="185"/>
      <c r="T138" s="185">
        <f>SUM(T134:T137)</f>
        <v>2113978.2199999997</v>
      </c>
      <c r="U138" s="185">
        <f>SUM(U134:U137)</f>
        <v>2113978.2199999997</v>
      </c>
    </row>
    <row r="139" spans="1:23" ht="102" customHeight="1">
      <c r="A139" s="355"/>
      <c r="B139" s="137" t="s">
        <v>240</v>
      </c>
      <c r="C139" s="61" t="s">
        <v>187</v>
      </c>
      <c r="D139" s="64" t="s">
        <v>101</v>
      </c>
      <c r="E139" s="122">
        <v>630</v>
      </c>
      <c r="F139" s="122">
        <v>630</v>
      </c>
      <c r="G139" s="123">
        <f>((E139*8)+(F139*4))/12</f>
        <v>630</v>
      </c>
      <c r="H139" s="60">
        <v>630</v>
      </c>
      <c r="I139" s="60">
        <v>630</v>
      </c>
      <c r="J139" s="75">
        <f>K139</f>
        <v>3978.73</v>
      </c>
      <c r="K139" s="46">
        <v>3978.73</v>
      </c>
      <c r="L139" s="208" t="s">
        <v>104</v>
      </c>
      <c r="M139" s="73" t="s">
        <v>104</v>
      </c>
      <c r="N139" s="73">
        <f>SUM(O139:R139)</f>
        <v>2506599.9</v>
      </c>
      <c r="O139" s="73">
        <f>G139*K139</f>
        <v>2506599.9</v>
      </c>
      <c r="P139" s="73" t="s">
        <v>104</v>
      </c>
      <c r="Q139" s="73"/>
      <c r="R139" s="73" t="s">
        <v>104</v>
      </c>
      <c r="S139" s="208"/>
      <c r="T139" s="46">
        <f>N139</f>
        <v>2506599.9</v>
      </c>
      <c r="U139" s="46">
        <f t="shared" ref="U139:U146" si="38">T139</f>
        <v>2506599.9</v>
      </c>
    </row>
    <row r="140" spans="1:23">
      <c r="A140" s="355"/>
      <c r="B140" s="69"/>
      <c r="C140" s="294" t="s">
        <v>106</v>
      </c>
      <c r="D140" s="69"/>
      <c r="E140" s="122">
        <f>SUM(E139:E139)</f>
        <v>630</v>
      </c>
      <c r="F140" s="122">
        <f>SUM(F139:F139)</f>
        <v>630</v>
      </c>
      <c r="G140" s="122">
        <f>SUM(G139:G139)</f>
        <v>630</v>
      </c>
      <c r="H140" s="60">
        <f>SUM(H139:H139)</f>
        <v>630</v>
      </c>
      <c r="I140" s="60">
        <f>SUM(I139:I139)</f>
        <v>630</v>
      </c>
      <c r="J140" s="73" t="s">
        <v>104</v>
      </c>
      <c r="K140" s="208" t="s">
        <v>104</v>
      </c>
      <c r="L140" s="208" t="s">
        <v>104</v>
      </c>
      <c r="M140" s="74">
        <f t="shared" ref="M140:R140" si="39">SUM(M139:M139)</f>
        <v>0</v>
      </c>
      <c r="N140" s="103">
        <f>SUM(N139:N139)</f>
        <v>2506599.9</v>
      </c>
      <c r="O140" s="74">
        <f t="shared" si="39"/>
        <v>2506599.9</v>
      </c>
      <c r="P140" s="74">
        <f t="shared" si="39"/>
        <v>0</v>
      </c>
      <c r="Q140" s="74"/>
      <c r="R140" s="74">
        <f t="shared" si="39"/>
        <v>0</v>
      </c>
      <c r="S140" s="185"/>
      <c r="T140" s="46">
        <f>N140</f>
        <v>2506599.9</v>
      </c>
      <c r="U140" s="46">
        <f t="shared" si="38"/>
        <v>2506599.9</v>
      </c>
      <c r="V140" s="192">
        <v>33800419.590000004</v>
      </c>
      <c r="W140" s="192">
        <f>V140-T148</f>
        <v>167244.04000000656</v>
      </c>
    </row>
    <row r="141" spans="1:23" ht="13.95" hidden="1" customHeight="1">
      <c r="A141" s="355"/>
      <c r="B141" s="69" t="s">
        <v>284</v>
      </c>
      <c r="C141" s="181" t="s">
        <v>226</v>
      </c>
      <c r="D141" s="69"/>
      <c r="E141" s="122"/>
      <c r="F141" s="122"/>
      <c r="G141" s="122"/>
      <c r="H141" s="60"/>
      <c r="I141" s="60"/>
      <c r="J141" s="73"/>
      <c r="K141" s="208"/>
      <c r="L141" s="208"/>
      <c r="M141" s="74"/>
      <c r="N141" s="74">
        <f>P141</f>
        <v>0</v>
      </c>
      <c r="O141" s="74"/>
      <c r="P141" s="74"/>
      <c r="Q141" s="74"/>
      <c r="R141" s="74"/>
      <c r="S141" s="185"/>
      <c r="T141" s="46">
        <f>P141</f>
        <v>0</v>
      </c>
      <c r="U141" s="46">
        <f t="shared" si="38"/>
        <v>0</v>
      </c>
      <c r="V141" s="192">
        <f>N124+N133+N138+N140+N141</f>
        <v>31289575.549999997</v>
      </c>
    </row>
    <row r="142" spans="1:23" ht="13.95" hidden="1" customHeight="1">
      <c r="A142" s="355"/>
      <c r="B142" s="89" t="s">
        <v>225</v>
      </c>
      <c r="C142" s="181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08"/>
      <c r="L142" s="208"/>
      <c r="M142" s="74"/>
      <c r="N142" s="74">
        <f>S142</f>
        <v>0</v>
      </c>
      <c r="O142" s="74"/>
      <c r="P142" s="74"/>
      <c r="Q142" s="74"/>
      <c r="R142" s="74"/>
      <c r="S142" s="185"/>
      <c r="T142" s="46"/>
      <c r="U142" s="46">
        <f t="shared" si="38"/>
        <v>0</v>
      </c>
    </row>
    <row r="143" spans="1:23" ht="13.95" hidden="1" customHeight="1">
      <c r="A143" s="355"/>
      <c r="B143" s="89" t="s">
        <v>225</v>
      </c>
      <c r="C143" s="181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08"/>
      <c r="L143" s="208"/>
      <c r="M143" s="74"/>
      <c r="N143" s="74">
        <f>S143</f>
        <v>0</v>
      </c>
      <c r="O143" s="74"/>
      <c r="P143" s="74"/>
      <c r="Q143" s="74"/>
      <c r="R143" s="74"/>
      <c r="S143" s="185"/>
      <c r="T143" s="46">
        <f>Q143</f>
        <v>0</v>
      </c>
      <c r="U143" s="46">
        <f t="shared" si="38"/>
        <v>0</v>
      </c>
    </row>
    <row r="144" spans="1:23" ht="13.95" hidden="1" customHeight="1">
      <c r="A144" s="355"/>
      <c r="B144" s="89" t="s">
        <v>283</v>
      </c>
      <c r="C144" s="181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08"/>
      <c r="L144" s="208"/>
      <c r="M144" s="74"/>
      <c r="N144" s="74">
        <f>S144</f>
        <v>0</v>
      </c>
      <c r="O144" s="74"/>
      <c r="P144" s="74"/>
      <c r="Q144" s="74"/>
      <c r="R144" s="74"/>
      <c r="S144" s="185"/>
      <c r="T144" s="46"/>
      <c r="U144" s="46"/>
    </row>
    <row r="145" spans="1:26">
      <c r="A145" s="355"/>
      <c r="B145" s="89" t="s">
        <v>290</v>
      </c>
      <c r="C145" s="181" t="s">
        <v>226</v>
      </c>
      <c r="D145" s="64"/>
      <c r="E145" s="122">
        <v>20</v>
      </c>
      <c r="F145" s="122">
        <v>20</v>
      </c>
      <c r="G145" s="122">
        <v>20</v>
      </c>
      <c r="H145" s="60">
        <v>20</v>
      </c>
      <c r="I145" s="60">
        <v>20</v>
      </c>
      <c r="J145" s="73"/>
      <c r="K145" s="208"/>
      <c r="L145" s="208"/>
      <c r="M145" s="74"/>
      <c r="N145" s="74">
        <f>O145</f>
        <v>2343600</v>
      </c>
      <c r="O145" s="74">
        <v>2343600</v>
      </c>
      <c r="P145" s="74"/>
      <c r="Q145" s="74"/>
      <c r="R145" s="74"/>
      <c r="S145" s="185"/>
      <c r="T145" s="46">
        <v>2343600</v>
      </c>
      <c r="U145" s="46">
        <f>T145</f>
        <v>2343600</v>
      </c>
    </row>
    <row r="146" spans="1:26" ht="13.95" hidden="1" customHeight="1">
      <c r="A146" s="355"/>
      <c r="B146" s="89" t="s">
        <v>257</v>
      </c>
      <c r="C146" s="181" t="s">
        <v>226</v>
      </c>
      <c r="D146" s="64"/>
      <c r="E146" s="122"/>
      <c r="F146" s="122"/>
      <c r="G146" s="122"/>
      <c r="H146" s="60"/>
      <c r="I146" s="60"/>
      <c r="J146" s="73"/>
      <c r="K146" s="208"/>
      <c r="L146" s="208"/>
      <c r="M146" s="74"/>
      <c r="N146" s="74">
        <f>O146</f>
        <v>0</v>
      </c>
      <c r="O146" s="74"/>
      <c r="P146" s="74"/>
      <c r="Q146" s="74"/>
      <c r="R146" s="74"/>
      <c r="S146" s="185"/>
      <c r="T146" s="46">
        <f>O146</f>
        <v>0</v>
      </c>
      <c r="U146" s="46">
        <f t="shared" si="38"/>
        <v>0</v>
      </c>
    </row>
    <row r="147" spans="1:26" ht="13.95" hidden="1" customHeight="1">
      <c r="A147" s="355"/>
      <c r="B147" s="89" t="s">
        <v>291</v>
      </c>
      <c r="C147" s="181" t="s">
        <v>226</v>
      </c>
      <c r="D147" s="64"/>
      <c r="E147" s="122"/>
      <c r="F147" s="122"/>
      <c r="G147" s="122"/>
      <c r="H147" s="60"/>
      <c r="I147" s="60"/>
      <c r="J147" s="73"/>
      <c r="K147" s="208"/>
      <c r="L147" s="208"/>
      <c r="M147" s="74"/>
      <c r="N147" s="74">
        <f>P147</f>
        <v>0</v>
      </c>
      <c r="O147" s="74"/>
      <c r="P147" s="74"/>
      <c r="Q147" s="74"/>
      <c r="R147" s="74"/>
      <c r="S147" s="185"/>
      <c r="T147" s="46"/>
      <c r="U147" s="46">
        <f>T147</f>
        <v>0</v>
      </c>
    </row>
    <row r="148" spans="1:26">
      <c r="A148" s="355"/>
      <c r="B148" s="101" t="s">
        <v>112</v>
      </c>
      <c r="C148" s="101"/>
      <c r="D148" s="69"/>
      <c r="E148" s="215">
        <f>E124+E133+E138</f>
        <v>510</v>
      </c>
      <c r="F148" s="102">
        <f>F124+F133+F138</f>
        <v>510</v>
      </c>
      <c r="G148" s="215">
        <f>G124+G133+G138</f>
        <v>510</v>
      </c>
      <c r="H148" s="102">
        <f>H124+H133+H138</f>
        <v>510</v>
      </c>
      <c r="I148" s="102">
        <f>I124+I133+I138</f>
        <v>510</v>
      </c>
      <c r="J148" s="104"/>
      <c r="K148" s="222"/>
      <c r="L148" s="138"/>
      <c r="M148" s="103"/>
      <c r="N148" s="103">
        <f>SUM(O148:S148)</f>
        <v>33633175.549999997</v>
      </c>
      <c r="O148" s="136">
        <f>O124+O133+O138+O140+O145+O146</f>
        <v>24206532.199999999</v>
      </c>
      <c r="P148" s="103">
        <f>P124+P133+P138+P140+P141+P142+P143+P147</f>
        <v>2041014.8999999997</v>
      </c>
      <c r="Q148" s="103">
        <f>Q124+Q133+Q138+Q140+Q141+Q142+Q143</f>
        <v>0</v>
      </c>
      <c r="R148" s="103">
        <f>R124+R133+R138+R140+R141+R142+R143+R144</f>
        <v>7385628.4500000002</v>
      </c>
      <c r="S148" s="138">
        <f>S124+S133+S138+S140+S141+S142+S143+S144</f>
        <v>0</v>
      </c>
      <c r="T148" s="138">
        <f>T124+T133+T138+T140+T141+T142+T143+T144+T145+T146+T147</f>
        <v>33633175.549999997</v>
      </c>
      <c r="U148" s="138">
        <f>U124+U133+U138+U140+U141+U142+U143+U144+U145+U146+U147</f>
        <v>33633175.549999997</v>
      </c>
      <c r="V148" s="182">
        <v>6303274.5899999999</v>
      </c>
      <c r="W148" s="192">
        <f>V148-R148</f>
        <v>-1082353.8600000003</v>
      </c>
      <c r="X148" s="182">
        <f>W148/G148</f>
        <v>-2122.2624705882358</v>
      </c>
    </row>
    <row r="149" spans="1:26" ht="82.95" customHeight="1">
      <c r="A149" s="355" t="s">
        <v>116</v>
      </c>
      <c r="B149" s="357" t="s">
        <v>237</v>
      </c>
      <c r="C149" s="61" t="s">
        <v>100</v>
      </c>
      <c r="D149" s="62" t="s">
        <v>101</v>
      </c>
      <c r="E149" s="123">
        <v>325</v>
      </c>
      <c r="F149" s="123">
        <v>325</v>
      </c>
      <c r="G149" s="123">
        <f t="shared" ref="G149:G171" si="40">((E149*8)+(F149*4))/12</f>
        <v>325</v>
      </c>
      <c r="H149" s="59">
        <v>325</v>
      </c>
      <c r="I149" s="59">
        <v>325</v>
      </c>
      <c r="J149" s="107">
        <f>SUM(K149:M149)</f>
        <v>42926.31</v>
      </c>
      <c r="K149" s="221">
        <f>23258.45+1351.63</f>
        <v>24610.080000000002</v>
      </c>
      <c r="L149" s="212">
        <f>4001.99</f>
        <v>4001.99</v>
      </c>
      <c r="M149" s="70">
        <v>14314.24</v>
      </c>
      <c r="N149" s="71">
        <f>SUM(O149:R149)</f>
        <v>13951051.24</v>
      </c>
      <c r="O149" s="71">
        <f>G149*K149</f>
        <v>7998276.0000000009</v>
      </c>
      <c r="P149" s="71">
        <f>G149*L149</f>
        <v>1300646.75</v>
      </c>
      <c r="Q149" s="71"/>
      <c r="R149" s="75">
        <f>G149*M149+0.49</f>
        <v>4652128.49</v>
      </c>
      <c r="S149" s="46"/>
      <c r="T149" s="46">
        <f>N149</f>
        <v>13951051.24</v>
      </c>
      <c r="U149" s="46">
        <f>T149</f>
        <v>13951051.24</v>
      </c>
    </row>
    <row r="150" spans="1:26" ht="82.8">
      <c r="A150" s="355"/>
      <c r="B150" s="358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59" t="s">
        <v>104</v>
      </c>
      <c r="N150" s="71"/>
      <c r="O150" s="71"/>
      <c r="P150" s="59" t="s">
        <v>104</v>
      </c>
      <c r="Q150" s="59"/>
      <c r="R150" s="59" t="s">
        <v>104</v>
      </c>
      <c r="S150" s="123"/>
      <c r="T150" s="46"/>
      <c r="U150" s="46"/>
    </row>
    <row r="151" spans="1:26">
      <c r="A151" s="355"/>
      <c r="B151" s="358"/>
      <c r="C151" s="63" t="s">
        <v>171</v>
      </c>
      <c r="D151" s="64" t="s">
        <v>101</v>
      </c>
      <c r="E151" s="123"/>
      <c r="F151" s="123"/>
      <c r="G151" s="123">
        <f t="shared" si="40"/>
        <v>0</v>
      </c>
      <c r="H151" s="59"/>
      <c r="I151" s="59"/>
      <c r="J151" s="75">
        <f t="shared" ref="J151:J157" si="41">K151</f>
        <v>69482.740000000005</v>
      </c>
      <c r="K151" s="206">
        <v>69482.740000000005</v>
      </c>
      <c r="L151" s="123" t="s">
        <v>104</v>
      </c>
      <c r="M151" s="59" t="s">
        <v>104</v>
      </c>
      <c r="N151" s="71">
        <f t="shared" ref="N151:N157" si="42">O151</f>
        <v>0</v>
      </c>
      <c r="O151" s="71">
        <f>G151*K151</f>
        <v>0</v>
      </c>
      <c r="P151" s="59" t="s">
        <v>104</v>
      </c>
      <c r="Q151" s="59"/>
      <c r="R151" s="59"/>
      <c r="S151" s="123"/>
      <c r="T151" s="46">
        <f t="shared" ref="T151:T157" si="43">H151*K151</f>
        <v>0</v>
      </c>
      <c r="U151" s="46">
        <f t="shared" ref="U151:U157" si="44">I151*K151</f>
        <v>0</v>
      </c>
    </row>
    <row r="152" spans="1:26">
      <c r="A152" s="355"/>
      <c r="B152" s="358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40"/>
        <v>3</v>
      </c>
      <c r="H152" s="59">
        <v>3</v>
      </c>
      <c r="I152" s="59">
        <v>3</v>
      </c>
      <c r="J152" s="75">
        <f t="shared" si="41"/>
        <v>69482.740000000005</v>
      </c>
      <c r="K152" s="206">
        <v>69482.740000000005</v>
      </c>
      <c r="L152" s="123" t="s">
        <v>104</v>
      </c>
      <c r="M152" s="59" t="s">
        <v>104</v>
      </c>
      <c r="N152" s="71">
        <f t="shared" si="42"/>
        <v>208448.22000000003</v>
      </c>
      <c r="O152" s="71">
        <f t="shared" ref="O152:O157" si="45">G152*K152</f>
        <v>208448.22000000003</v>
      </c>
      <c r="P152" s="59" t="s">
        <v>104</v>
      </c>
      <c r="Q152" s="59"/>
      <c r="R152" s="59" t="s">
        <v>104</v>
      </c>
      <c r="S152" s="123"/>
      <c r="T152" s="46">
        <f t="shared" si="43"/>
        <v>208448.22000000003</v>
      </c>
      <c r="U152" s="46">
        <f t="shared" si="44"/>
        <v>208448.22000000003</v>
      </c>
    </row>
    <row r="153" spans="1:26">
      <c r="A153" s="355"/>
      <c r="B153" s="358"/>
      <c r="C153" s="63" t="s">
        <v>165</v>
      </c>
      <c r="D153" s="64" t="s">
        <v>101</v>
      </c>
      <c r="E153" s="123">
        <v>1</v>
      </c>
      <c r="F153" s="123">
        <v>1</v>
      </c>
      <c r="G153" s="123">
        <f t="shared" si="40"/>
        <v>1</v>
      </c>
      <c r="H153" s="59">
        <v>1</v>
      </c>
      <c r="I153" s="59">
        <v>1</v>
      </c>
      <c r="J153" s="75">
        <f t="shared" si="41"/>
        <v>92591.35</v>
      </c>
      <c r="K153" s="206">
        <v>92591.35</v>
      </c>
      <c r="L153" s="123" t="s">
        <v>104</v>
      </c>
      <c r="M153" s="59" t="s">
        <v>104</v>
      </c>
      <c r="N153" s="71">
        <f t="shared" si="42"/>
        <v>92591.35</v>
      </c>
      <c r="O153" s="71">
        <f t="shared" si="45"/>
        <v>92591.35</v>
      </c>
      <c r="P153" s="59"/>
      <c r="Q153" s="59"/>
      <c r="R153" s="59"/>
      <c r="S153" s="123"/>
      <c r="T153" s="46">
        <f>H153*K153</f>
        <v>92591.35</v>
      </c>
      <c r="U153" s="46">
        <f t="shared" si="44"/>
        <v>92591.35</v>
      </c>
    </row>
    <row r="154" spans="1:26">
      <c r="A154" s="355"/>
      <c r="B154" s="358"/>
      <c r="C154" s="63" t="s">
        <v>166</v>
      </c>
      <c r="D154" s="64" t="s">
        <v>101</v>
      </c>
      <c r="E154" s="123">
        <v>1</v>
      </c>
      <c r="F154" s="123">
        <v>1</v>
      </c>
      <c r="G154" s="123">
        <f t="shared" si="40"/>
        <v>1</v>
      </c>
      <c r="H154" s="59">
        <v>1</v>
      </c>
      <c r="I154" s="59">
        <v>1</v>
      </c>
      <c r="J154" s="75">
        <f t="shared" si="41"/>
        <v>66481.399999999994</v>
      </c>
      <c r="K154" s="46">
        <v>66481.399999999994</v>
      </c>
      <c r="L154" s="123" t="s">
        <v>104</v>
      </c>
      <c r="M154" s="59" t="s">
        <v>104</v>
      </c>
      <c r="N154" s="71">
        <f t="shared" si="42"/>
        <v>66481.399999999994</v>
      </c>
      <c r="O154" s="71">
        <f t="shared" si="45"/>
        <v>66481.399999999994</v>
      </c>
      <c r="P154" s="59" t="s">
        <v>104</v>
      </c>
      <c r="Q154" s="59"/>
      <c r="R154" s="59" t="s">
        <v>104</v>
      </c>
      <c r="S154" s="123"/>
      <c r="T154" s="46">
        <f t="shared" si="43"/>
        <v>66481.399999999994</v>
      </c>
      <c r="U154" s="46">
        <f t="shared" si="44"/>
        <v>66481.399999999994</v>
      </c>
    </row>
    <row r="155" spans="1:26">
      <c r="A155" s="355"/>
      <c r="B155" s="358"/>
      <c r="C155" s="63" t="s">
        <v>190</v>
      </c>
      <c r="D155" s="64" t="s">
        <v>101</v>
      </c>
      <c r="E155" s="123"/>
      <c r="F155" s="123"/>
      <c r="G155" s="123">
        <f t="shared" si="40"/>
        <v>0</v>
      </c>
      <c r="H155" s="59"/>
      <c r="I155" s="59"/>
      <c r="J155" s="75">
        <f t="shared" si="41"/>
        <v>178902.16</v>
      </c>
      <c r="K155" s="46">
        <v>178902.16</v>
      </c>
      <c r="L155" s="123" t="s">
        <v>104</v>
      </c>
      <c r="M155" s="59" t="s">
        <v>104</v>
      </c>
      <c r="N155" s="71">
        <f t="shared" si="42"/>
        <v>0</v>
      </c>
      <c r="O155" s="71">
        <f t="shared" si="45"/>
        <v>0</v>
      </c>
      <c r="P155" s="59" t="s">
        <v>104</v>
      </c>
      <c r="Q155" s="59"/>
      <c r="R155" s="59" t="s">
        <v>104</v>
      </c>
      <c r="S155" s="123"/>
      <c r="T155" s="46">
        <f t="shared" si="43"/>
        <v>0</v>
      </c>
      <c r="U155" s="46">
        <f t="shared" si="44"/>
        <v>0</v>
      </c>
    </row>
    <row r="156" spans="1:26">
      <c r="A156" s="355"/>
      <c r="B156" s="358"/>
      <c r="C156" s="63" t="s">
        <v>170</v>
      </c>
      <c r="D156" s="64" t="s">
        <v>101</v>
      </c>
      <c r="E156" s="123"/>
      <c r="F156" s="123"/>
      <c r="G156" s="123">
        <f t="shared" si="40"/>
        <v>0</v>
      </c>
      <c r="H156" s="59"/>
      <c r="I156" s="59"/>
      <c r="J156" s="75">
        <f t="shared" si="41"/>
        <v>99770.92</v>
      </c>
      <c r="K156" s="46">
        <v>99770.92</v>
      </c>
      <c r="L156" s="123" t="s">
        <v>104</v>
      </c>
      <c r="M156" s="59" t="s">
        <v>104</v>
      </c>
      <c r="N156" s="71">
        <f t="shared" si="42"/>
        <v>0</v>
      </c>
      <c r="O156" s="71">
        <f t="shared" si="45"/>
        <v>0</v>
      </c>
      <c r="P156" s="59" t="s">
        <v>104</v>
      </c>
      <c r="Q156" s="59"/>
      <c r="R156" s="59" t="s">
        <v>104</v>
      </c>
      <c r="S156" s="123"/>
      <c r="T156" s="46">
        <f t="shared" si="43"/>
        <v>0</v>
      </c>
      <c r="U156" s="46">
        <f t="shared" si="44"/>
        <v>0</v>
      </c>
    </row>
    <row r="157" spans="1:26">
      <c r="A157" s="355"/>
      <c r="B157" s="358"/>
      <c r="C157" s="63" t="s">
        <v>168</v>
      </c>
      <c r="D157" s="64" t="s">
        <v>101</v>
      </c>
      <c r="E157" s="123">
        <v>1</v>
      </c>
      <c r="F157" s="123">
        <v>1</v>
      </c>
      <c r="G157" s="123">
        <f t="shared" si="40"/>
        <v>1</v>
      </c>
      <c r="H157" s="59">
        <v>1</v>
      </c>
      <c r="I157" s="59">
        <v>1</v>
      </c>
      <c r="J157" s="75">
        <f t="shared" si="41"/>
        <v>23678.79</v>
      </c>
      <c r="K157" s="46">
        <v>23678.79</v>
      </c>
      <c r="L157" s="123" t="s">
        <v>104</v>
      </c>
      <c r="M157" s="59" t="s">
        <v>104</v>
      </c>
      <c r="N157" s="71">
        <f t="shared" si="42"/>
        <v>23678.79</v>
      </c>
      <c r="O157" s="71">
        <f t="shared" si="45"/>
        <v>23678.79</v>
      </c>
      <c r="P157" s="59" t="s">
        <v>104</v>
      </c>
      <c r="Q157" s="59"/>
      <c r="R157" s="59" t="s">
        <v>104</v>
      </c>
      <c r="S157" s="123"/>
      <c r="T157" s="46">
        <f t="shared" si="43"/>
        <v>23678.79</v>
      </c>
      <c r="U157" s="46">
        <f t="shared" si="44"/>
        <v>23678.79</v>
      </c>
    </row>
    <row r="158" spans="1:26" ht="84.6" customHeight="1">
      <c r="A158" s="355"/>
      <c r="B158" s="358"/>
      <c r="C158" s="61" t="s">
        <v>105</v>
      </c>
      <c r="D158" s="64" t="s">
        <v>101</v>
      </c>
      <c r="E158" s="123">
        <v>1</v>
      </c>
      <c r="F158" s="123">
        <v>1</v>
      </c>
      <c r="G158" s="123">
        <f t="shared" si="40"/>
        <v>1</v>
      </c>
      <c r="H158" s="59">
        <v>1</v>
      </c>
      <c r="I158" s="59">
        <v>1</v>
      </c>
      <c r="J158" s="75">
        <f>SUM(K158:M158)</f>
        <v>141179.59</v>
      </c>
      <c r="K158" s="46">
        <f>121511.73+1351.63</f>
        <v>122863.36</v>
      </c>
      <c r="L158" s="212">
        <f>4001.99</f>
        <v>4001.99</v>
      </c>
      <c r="M158" s="70">
        <v>14314.24</v>
      </c>
      <c r="N158" s="71">
        <f>SUM(O158:R158)</f>
        <v>141179.59</v>
      </c>
      <c r="O158" s="71">
        <f>G158*K158</f>
        <v>122863.36</v>
      </c>
      <c r="P158" s="71">
        <f>G158*L158</f>
        <v>4001.99</v>
      </c>
      <c r="Q158" s="71"/>
      <c r="R158" s="75">
        <f>G158*M158</f>
        <v>14314.24</v>
      </c>
      <c r="S158" s="46"/>
      <c r="T158" s="46">
        <f>N158</f>
        <v>141179.59</v>
      </c>
      <c r="U158" s="46">
        <f>T158</f>
        <v>141179.59</v>
      </c>
    </row>
    <row r="159" spans="1:26" ht="96.6">
      <c r="A159" s="355"/>
      <c r="B159" s="358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40"/>
        <v>0</v>
      </c>
      <c r="H159" s="59">
        <v>0</v>
      </c>
      <c r="I159" s="59">
        <v>0</v>
      </c>
      <c r="J159" s="75">
        <f>K159</f>
        <v>21475.65</v>
      </c>
      <c r="K159" s="46">
        <v>21475.65</v>
      </c>
      <c r="L159" s="184" t="s">
        <v>104</v>
      </c>
      <c r="M159" s="72" t="s">
        <v>104</v>
      </c>
      <c r="N159" s="71">
        <f>SUM(O159:R159)</f>
        <v>0</v>
      </c>
      <c r="O159" s="71">
        <f>G159*K159</f>
        <v>0</v>
      </c>
      <c r="P159" s="71"/>
      <c r="Q159" s="71"/>
      <c r="R159" s="71"/>
      <c r="S159" s="206"/>
      <c r="T159" s="46">
        <f>H159*J159</f>
        <v>0</v>
      </c>
      <c r="U159" s="46">
        <f>I159*J159</f>
        <v>0</v>
      </c>
    </row>
    <row r="160" spans="1:26">
      <c r="A160" s="355"/>
      <c r="B160" s="359"/>
      <c r="C160" s="294" t="s">
        <v>106</v>
      </c>
      <c r="D160" s="67"/>
      <c r="E160" s="123">
        <f>E149+E158</f>
        <v>326</v>
      </c>
      <c r="F160" s="123">
        <f>F149+F158</f>
        <v>326</v>
      </c>
      <c r="G160" s="123">
        <f>G149+G158</f>
        <v>326</v>
      </c>
      <c r="H160" s="59">
        <f>H149+H158</f>
        <v>326</v>
      </c>
      <c r="I160" s="59">
        <f>I149+I158</f>
        <v>326</v>
      </c>
      <c r="J160" s="71" t="s">
        <v>104</v>
      </c>
      <c r="K160" s="206" t="s">
        <v>104</v>
      </c>
      <c r="L160" s="206" t="s">
        <v>104</v>
      </c>
      <c r="M160" s="71" t="s">
        <v>104</v>
      </c>
      <c r="N160" s="118">
        <f>SUM(N149:N159)</f>
        <v>14483430.59</v>
      </c>
      <c r="O160" s="71">
        <f>SUM(O149:O159)</f>
        <v>8512339.1199999992</v>
      </c>
      <c r="P160" s="71">
        <f>SUM(P149:P159)</f>
        <v>1304648.74</v>
      </c>
      <c r="Q160" s="71"/>
      <c r="R160" s="118">
        <f>SUM(R149:R159)</f>
        <v>4666442.7300000004</v>
      </c>
      <c r="S160" s="206"/>
      <c r="T160" s="206">
        <f>SUM(T149:T159)</f>
        <v>14483430.59</v>
      </c>
      <c r="U160" s="206">
        <f>SUM(U149:U159)</f>
        <v>14483430.59</v>
      </c>
      <c r="Z160" s="192"/>
    </row>
    <row r="161" spans="1:26" ht="82.95" customHeight="1">
      <c r="A161" s="355"/>
      <c r="B161" s="357" t="s">
        <v>238</v>
      </c>
      <c r="C161" s="61" t="s">
        <v>100</v>
      </c>
      <c r="D161" s="62" t="s">
        <v>101</v>
      </c>
      <c r="E161" s="123">
        <v>214</v>
      </c>
      <c r="F161" s="123">
        <v>214</v>
      </c>
      <c r="G161" s="123">
        <f t="shared" si="40"/>
        <v>214</v>
      </c>
      <c r="H161" s="59">
        <v>214</v>
      </c>
      <c r="I161" s="59">
        <v>214</v>
      </c>
      <c r="J161" s="107">
        <f>SUM(K161:M161)</f>
        <v>54702.01</v>
      </c>
      <c r="K161" s="221">
        <f>34483.05+1649.65</f>
        <v>36132.700000000004</v>
      </c>
      <c r="L161" s="212">
        <f>4001.99</f>
        <v>4001.99</v>
      </c>
      <c r="M161" s="70">
        <v>14567.32</v>
      </c>
      <c r="N161" s="71">
        <f>SUM(O161:R161)</f>
        <v>11706230.140000001</v>
      </c>
      <c r="O161" s="71">
        <f>G161*K161</f>
        <v>7732397.8000000007</v>
      </c>
      <c r="P161" s="71">
        <f>G161*L161</f>
        <v>856425.86</v>
      </c>
      <c r="Q161" s="71"/>
      <c r="R161" s="75">
        <f>G161*M161</f>
        <v>3117406.48</v>
      </c>
      <c r="S161" s="46"/>
      <c r="T161" s="46">
        <f>N161</f>
        <v>11706230.140000001</v>
      </c>
      <c r="U161" s="46">
        <f>T161</f>
        <v>11706230.140000001</v>
      </c>
    </row>
    <row r="162" spans="1:26" ht="96.6">
      <c r="A162" s="355"/>
      <c r="B162" s="358"/>
      <c r="C162" s="61" t="s">
        <v>118</v>
      </c>
      <c r="D162" s="62" t="s">
        <v>101</v>
      </c>
      <c r="E162" s="123">
        <v>195</v>
      </c>
      <c r="F162" s="123">
        <v>195</v>
      </c>
      <c r="G162" s="123">
        <f t="shared" si="40"/>
        <v>195</v>
      </c>
      <c r="H162" s="59">
        <v>195</v>
      </c>
      <c r="I162" s="59">
        <v>195</v>
      </c>
      <c r="J162" s="107">
        <f>SUM(K162:M162)</f>
        <v>58138.11</v>
      </c>
      <c r="K162" s="221">
        <f>37919.15+1649.65</f>
        <v>39568.800000000003</v>
      </c>
      <c r="L162" s="212">
        <f>4001.99</f>
        <v>4001.99</v>
      </c>
      <c r="M162" s="70">
        <v>14567.32</v>
      </c>
      <c r="N162" s="71">
        <f>SUM(O162:R162)</f>
        <v>11336931.450000001</v>
      </c>
      <c r="O162" s="71">
        <f>G162*K162</f>
        <v>7715916.0000000009</v>
      </c>
      <c r="P162" s="71">
        <f>G162*L162</f>
        <v>780388.04999999993</v>
      </c>
      <c r="Q162" s="71"/>
      <c r="R162" s="75">
        <f>G162*M162</f>
        <v>2840627.4</v>
      </c>
      <c r="S162" s="46"/>
      <c r="T162" s="46">
        <f>N162</f>
        <v>11336931.450000001</v>
      </c>
      <c r="U162" s="46">
        <f>T162</f>
        <v>11336931.450000001</v>
      </c>
    </row>
    <row r="163" spans="1:26" ht="82.8">
      <c r="A163" s="355"/>
      <c r="B163" s="358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59" t="s">
        <v>104</v>
      </c>
      <c r="N163" s="71"/>
      <c r="O163" s="71"/>
      <c r="P163" s="59" t="s">
        <v>104</v>
      </c>
      <c r="Q163" s="59"/>
      <c r="R163" s="59" t="s">
        <v>104</v>
      </c>
      <c r="S163" s="123"/>
      <c r="T163" s="46"/>
      <c r="U163" s="46"/>
    </row>
    <row r="164" spans="1:26">
      <c r="A164" s="355"/>
      <c r="B164" s="358"/>
      <c r="C164" s="63" t="s">
        <v>171</v>
      </c>
      <c r="D164" s="64" t="s">
        <v>101</v>
      </c>
      <c r="E164" s="122"/>
      <c r="F164" s="122"/>
      <c r="G164" s="123">
        <f t="shared" si="40"/>
        <v>0</v>
      </c>
      <c r="H164" s="60"/>
      <c r="I164" s="60"/>
      <c r="J164" s="75">
        <f>K164</f>
        <v>69482.740000000005</v>
      </c>
      <c r="K164" s="46">
        <v>69482.740000000005</v>
      </c>
      <c r="L164" s="123" t="s">
        <v>104</v>
      </c>
      <c r="M164" s="59" t="s">
        <v>104</v>
      </c>
      <c r="N164" s="71">
        <f>O164</f>
        <v>0</v>
      </c>
      <c r="O164" s="71">
        <f>G164*K164</f>
        <v>0</v>
      </c>
      <c r="P164" s="59" t="s">
        <v>104</v>
      </c>
      <c r="Q164" s="59"/>
      <c r="R164" s="59" t="s">
        <v>104</v>
      </c>
      <c r="S164" s="123"/>
      <c r="T164" s="46">
        <f>H164*K164</f>
        <v>0</v>
      </c>
      <c r="U164" s="46">
        <f>I164*K164</f>
        <v>0</v>
      </c>
    </row>
    <row r="165" spans="1:26">
      <c r="A165" s="355"/>
      <c r="B165" s="358"/>
      <c r="C165" s="63" t="s">
        <v>164</v>
      </c>
      <c r="D165" s="64" t="s">
        <v>101</v>
      </c>
      <c r="E165" s="122">
        <v>1</v>
      </c>
      <c r="F165" s="122">
        <v>1</v>
      </c>
      <c r="G165" s="123">
        <f t="shared" si="40"/>
        <v>1</v>
      </c>
      <c r="H165" s="60">
        <v>1</v>
      </c>
      <c r="I165" s="60">
        <v>1</v>
      </c>
      <c r="J165" s="75">
        <f>K165</f>
        <v>25714.959999999999</v>
      </c>
      <c r="K165" s="46">
        <v>25714.959999999999</v>
      </c>
      <c r="L165" s="123" t="s">
        <v>104</v>
      </c>
      <c r="M165" s="59" t="s">
        <v>104</v>
      </c>
      <c r="N165" s="71">
        <f>O165</f>
        <v>25714.959999999999</v>
      </c>
      <c r="O165" s="71">
        <f t="shared" ref="O165:O166" si="46">G165*K165</f>
        <v>25714.959999999999</v>
      </c>
      <c r="P165" s="59" t="s">
        <v>104</v>
      </c>
      <c r="Q165" s="59"/>
      <c r="R165" s="59" t="s">
        <v>104</v>
      </c>
      <c r="S165" s="123"/>
      <c r="T165" s="46">
        <f>H165*K165</f>
        <v>25714.959999999999</v>
      </c>
      <c r="U165" s="46">
        <f>I165*K165</f>
        <v>25714.959999999999</v>
      </c>
    </row>
    <row r="166" spans="1:26">
      <c r="A166" s="355"/>
      <c r="B166" s="358"/>
      <c r="C166" s="63" t="s">
        <v>168</v>
      </c>
      <c r="D166" s="64" t="s">
        <v>101</v>
      </c>
      <c r="E166" s="122">
        <v>1</v>
      </c>
      <c r="F166" s="122">
        <v>1</v>
      </c>
      <c r="G166" s="123">
        <f t="shared" si="40"/>
        <v>1</v>
      </c>
      <c r="H166" s="60">
        <v>1</v>
      </c>
      <c r="I166" s="60">
        <v>1</v>
      </c>
      <c r="J166" s="75">
        <f>K166</f>
        <v>23678.79</v>
      </c>
      <c r="K166" s="46">
        <v>23678.79</v>
      </c>
      <c r="L166" s="123" t="s">
        <v>104</v>
      </c>
      <c r="M166" s="59" t="s">
        <v>104</v>
      </c>
      <c r="N166" s="71">
        <f>O166</f>
        <v>23678.79</v>
      </c>
      <c r="O166" s="71">
        <f t="shared" si="46"/>
        <v>23678.79</v>
      </c>
      <c r="P166" s="59" t="s">
        <v>104</v>
      </c>
      <c r="Q166" s="59"/>
      <c r="R166" s="59" t="s">
        <v>104</v>
      </c>
      <c r="S166" s="123"/>
      <c r="T166" s="46">
        <f>H166*K166</f>
        <v>23678.79</v>
      </c>
      <c r="U166" s="46">
        <f>I166*K166</f>
        <v>23678.79</v>
      </c>
    </row>
    <row r="167" spans="1:26" ht="81.599999999999994" customHeight="1">
      <c r="A167" s="355"/>
      <c r="B167" s="358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40"/>
        <v>1</v>
      </c>
      <c r="H167" s="60">
        <v>1</v>
      </c>
      <c r="I167" s="60">
        <v>1</v>
      </c>
      <c r="J167" s="75">
        <f>SUM(K167:M167)</f>
        <v>171714.25</v>
      </c>
      <c r="K167" s="46">
        <f>151495.29+1649.65</f>
        <v>153144.94</v>
      </c>
      <c r="L167" s="212">
        <f>4001.99</f>
        <v>4001.99</v>
      </c>
      <c r="M167" s="70">
        <v>14567.32</v>
      </c>
      <c r="N167" s="73">
        <f>SUM(O167:R167)</f>
        <v>171714.25</v>
      </c>
      <c r="O167" s="71">
        <f>G167*K167</f>
        <v>153144.94</v>
      </c>
      <c r="P167" s="73">
        <f>G167*L167</f>
        <v>4001.99</v>
      </c>
      <c r="Q167" s="73"/>
      <c r="R167" s="73">
        <f>E167*M167</f>
        <v>14567.32</v>
      </c>
      <c r="S167" s="208"/>
      <c r="T167" s="46">
        <f>N167</f>
        <v>171714.25</v>
      </c>
      <c r="U167" s="46">
        <f>T167</f>
        <v>171714.25</v>
      </c>
    </row>
    <row r="168" spans="1:26" ht="96.6">
      <c r="A168" s="355"/>
      <c r="B168" s="358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40"/>
        <v>0</v>
      </c>
      <c r="H168" s="60">
        <v>0</v>
      </c>
      <c r="I168" s="60">
        <v>0</v>
      </c>
      <c r="J168" s="75">
        <f>K168</f>
        <v>34003.1</v>
      </c>
      <c r="K168" s="46">
        <v>34003.1</v>
      </c>
      <c r="L168" s="184" t="s">
        <v>104</v>
      </c>
      <c r="M168" s="72" t="s">
        <v>104</v>
      </c>
      <c r="N168" s="73">
        <f>SUM(O168:R168)</f>
        <v>0</v>
      </c>
      <c r="O168" s="71">
        <f>G168*K168</f>
        <v>0</v>
      </c>
      <c r="P168" s="73"/>
      <c r="Q168" s="73"/>
      <c r="R168" s="73"/>
      <c r="S168" s="208"/>
      <c r="T168" s="46">
        <f>H168*J168</f>
        <v>0</v>
      </c>
      <c r="U168" s="46">
        <f>I168*J168</f>
        <v>0</v>
      </c>
    </row>
    <row r="169" spans="1:26">
      <c r="A169" s="355"/>
      <c r="B169" s="359"/>
      <c r="C169" s="294" t="s">
        <v>106</v>
      </c>
      <c r="D169" s="64"/>
      <c r="E169" s="122">
        <f>E161++E162+E167</f>
        <v>410</v>
      </c>
      <c r="F169" s="122">
        <f>F161++F162+F167</f>
        <v>410</v>
      </c>
      <c r="G169" s="122">
        <f>G161++G162+G167</f>
        <v>410</v>
      </c>
      <c r="H169" s="60">
        <f>H161++H162+H167</f>
        <v>410</v>
      </c>
      <c r="I169" s="60">
        <f>I161++I162+I167</f>
        <v>410</v>
      </c>
      <c r="J169" s="73" t="s">
        <v>104</v>
      </c>
      <c r="K169" s="208" t="s">
        <v>104</v>
      </c>
      <c r="L169" s="185" t="s">
        <v>104</v>
      </c>
      <c r="M169" s="74" t="s">
        <v>104</v>
      </c>
      <c r="N169" s="103">
        <f>SUM(N161:N168)</f>
        <v>23264269.590000004</v>
      </c>
      <c r="O169" s="74">
        <f t="shared" ref="O169:U169" si="47">SUM(O161:O168)</f>
        <v>15650852.49</v>
      </c>
      <c r="P169" s="74">
        <f t="shared" si="47"/>
        <v>1640815.9</v>
      </c>
      <c r="Q169" s="74"/>
      <c r="R169" s="103">
        <f t="shared" si="47"/>
        <v>5972601.2000000002</v>
      </c>
      <c r="S169" s="185"/>
      <c r="T169" s="185">
        <f t="shared" si="47"/>
        <v>23264269.590000004</v>
      </c>
      <c r="U169" s="185">
        <f t="shared" si="47"/>
        <v>23264269.590000004</v>
      </c>
      <c r="Z169" s="192"/>
    </row>
    <row r="170" spans="1:26" ht="82.95" customHeight="1">
      <c r="A170" s="355"/>
      <c r="B170" s="357" t="s">
        <v>239</v>
      </c>
      <c r="C170" s="61" t="s">
        <v>100</v>
      </c>
      <c r="D170" s="62" t="s">
        <v>101</v>
      </c>
      <c r="E170" s="122">
        <v>53</v>
      </c>
      <c r="F170" s="122">
        <v>53</v>
      </c>
      <c r="G170" s="123">
        <f t="shared" si="40"/>
        <v>53</v>
      </c>
      <c r="H170" s="60">
        <v>53</v>
      </c>
      <c r="I170" s="60">
        <v>53</v>
      </c>
      <c r="J170" s="107">
        <f>SUM(K170:M170)</f>
        <v>62175.83</v>
      </c>
      <c r="K170" s="221">
        <f>41240.72+1998.78</f>
        <v>43239.5</v>
      </c>
      <c r="L170" s="212">
        <f>4001.99</f>
        <v>4001.99</v>
      </c>
      <c r="M170" s="70">
        <v>14934.34</v>
      </c>
      <c r="N170" s="73">
        <f>SUM(O170:R170)</f>
        <v>3295318.99</v>
      </c>
      <c r="O170" s="73">
        <f>G170*K170</f>
        <v>2291693.5</v>
      </c>
      <c r="P170" s="73">
        <f>G170*L170</f>
        <v>212105.47</v>
      </c>
      <c r="Q170" s="73"/>
      <c r="R170" s="75">
        <f>G170*M170</f>
        <v>791520.02</v>
      </c>
      <c r="S170" s="46"/>
      <c r="T170" s="46">
        <f>N170</f>
        <v>3295318.99</v>
      </c>
      <c r="U170" s="46">
        <f>T170</f>
        <v>3295318.99</v>
      </c>
    </row>
    <row r="171" spans="1:26" ht="96.6">
      <c r="A171" s="355"/>
      <c r="B171" s="358"/>
      <c r="C171" s="61" t="s">
        <v>172</v>
      </c>
      <c r="D171" s="62" t="s">
        <v>101</v>
      </c>
      <c r="E171" s="122">
        <v>52</v>
      </c>
      <c r="F171" s="122">
        <v>52</v>
      </c>
      <c r="G171" s="123">
        <f t="shared" si="40"/>
        <v>52</v>
      </c>
      <c r="H171" s="60">
        <v>52</v>
      </c>
      <c r="I171" s="60">
        <v>52</v>
      </c>
      <c r="J171" s="107">
        <f>SUM(K171:M171)</f>
        <v>105416.72</v>
      </c>
      <c r="K171" s="221">
        <f>84481.61+1998.78</f>
        <v>86480.39</v>
      </c>
      <c r="L171" s="212">
        <f>4001.99</f>
        <v>4001.99</v>
      </c>
      <c r="M171" s="70">
        <v>14934.34</v>
      </c>
      <c r="N171" s="73">
        <f>SUM(O171:R171)</f>
        <v>5481669.4399999995</v>
      </c>
      <c r="O171" s="73">
        <f>G171*K171</f>
        <v>4496980.28</v>
      </c>
      <c r="P171" s="73">
        <f>G171*L171</f>
        <v>208103.47999999998</v>
      </c>
      <c r="Q171" s="73"/>
      <c r="R171" s="75">
        <f>G171*M171</f>
        <v>776585.68</v>
      </c>
      <c r="S171" s="46"/>
      <c r="T171" s="46">
        <f>N171</f>
        <v>5481669.4399999995</v>
      </c>
      <c r="U171" s="46">
        <f>T171</f>
        <v>5481669.4399999995</v>
      </c>
    </row>
    <row r="172" spans="1:26" ht="82.8">
      <c r="A172" s="355"/>
      <c r="B172" s="358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59" t="s">
        <v>104</v>
      </c>
      <c r="N172" s="71"/>
      <c r="O172" s="71"/>
      <c r="P172" s="59" t="s">
        <v>104</v>
      </c>
      <c r="Q172" s="59"/>
      <c r="R172" s="59" t="s">
        <v>104</v>
      </c>
      <c r="S172" s="123"/>
      <c r="T172" s="46"/>
      <c r="U172" s="46"/>
    </row>
    <row r="173" spans="1:26">
      <c r="A173" s="355"/>
      <c r="B173" s="358"/>
      <c r="C173" s="63" t="s">
        <v>168</v>
      </c>
      <c r="D173" s="64" t="s">
        <v>101</v>
      </c>
      <c r="E173" s="122">
        <v>1</v>
      </c>
      <c r="F173" s="122">
        <v>1</v>
      </c>
      <c r="G173" s="123">
        <f>((E173*8)+(F173*4))/12</f>
        <v>1</v>
      </c>
      <c r="H173" s="60">
        <v>1</v>
      </c>
      <c r="I173" s="60">
        <v>1</v>
      </c>
      <c r="J173" s="75">
        <f>K173</f>
        <v>23678.79</v>
      </c>
      <c r="K173" s="46">
        <v>23678.79</v>
      </c>
      <c r="L173" s="123" t="s">
        <v>104</v>
      </c>
      <c r="M173" s="59" t="s">
        <v>104</v>
      </c>
      <c r="N173" s="71">
        <f>O173</f>
        <v>23678.79</v>
      </c>
      <c r="O173" s="71">
        <f>G173*K173</f>
        <v>23678.79</v>
      </c>
      <c r="P173" s="59" t="s">
        <v>104</v>
      </c>
      <c r="Q173" s="59"/>
      <c r="R173" s="59" t="s">
        <v>104</v>
      </c>
      <c r="S173" s="123"/>
      <c r="T173" s="46">
        <f>H173*K173</f>
        <v>23678.79</v>
      </c>
      <c r="U173" s="46">
        <f>I173*K173</f>
        <v>23678.79</v>
      </c>
    </row>
    <row r="174" spans="1:26" ht="83.4" customHeight="1">
      <c r="A174" s="355"/>
      <c r="B174" s="358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202413.96999999997</v>
      </c>
      <c r="K174" s="46">
        <f>181478.86+1998.78</f>
        <v>183477.63999999998</v>
      </c>
      <c r="L174" s="212">
        <f>4001.99</f>
        <v>4001.99</v>
      </c>
      <c r="M174" s="70">
        <v>14934.34</v>
      </c>
      <c r="N174" s="73"/>
      <c r="O174" s="73"/>
      <c r="P174" s="73"/>
      <c r="Q174" s="73"/>
      <c r="R174" s="73"/>
      <c r="S174" s="208"/>
      <c r="T174" s="46">
        <f>H174*J174</f>
        <v>0</v>
      </c>
      <c r="U174" s="46">
        <f>I174*J174</f>
        <v>0</v>
      </c>
    </row>
    <row r="175" spans="1:26">
      <c r="A175" s="355"/>
      <c r="B175" s="359"/>
      <c r="C175" s="294" t="s">
        <v>106</v>
      </c>
      <c r="D175" s="64"/>
      <c r="E175" s="122">
        <f>E170+E174+E171</f>
        <v>105</v>
      </c>
      <c r="F175" s="122">
        <f>F170+F174+F171</f>
        <v>105</v>
      </c>
      <c r="G175" s="122">
        <f>G170+G174+G171</f>
        <v>105</v>
      </c>
      <c r="H175" s="60">
        <f>H170+H174+H171</f>
        <v>105</v>
      </c>
      <c r="I175" s="60">
        <f>I170+I174+I171</f>
        <v>105</v>
      </c>
      <c r="J175" s="73" t="s">
        <v>104</v>
      </c>
      <c r="K175" s="208" t="s">
        <v>104</v>
      </c>
      <c r="L175" s="185" t="s">
        <v>104</v>
      </c>
      <c r="M175" s="74" t="s">
        <v>104</v>
      </c>
      <c r="N175" s="103">
        <f>SUM(N170:N174)</f>
        <v>8800667.2199999988</v>
      </c>
      <c r="O175" s="74">
        <f t="shared" ref="O175:U175" si="48">SUM(O170:O174)</f>
        <v>6812352.5700000003</v>
      </c>
      <c r="P175" s="74">
        <f t="shared" si="48"/>
        <v>420208.94999999995</v>
      </c>
      <c r="Q175" s="74"/>
      <c r="R175" s="103">
        <f t="shared" si="48"/>
        <v>1568105.7000000002</v>
      </c>
      <c r="S175" s="185"/>
      <c r="T175" s="185">
        <f>SUM(T170:T174)</f>
        <v>8800667.2199999988</v>
      </c>
      <c r="U175" s="185">
        <f t="shared" si="48"/>
        <v>8800667.2199999988</v>
      </c>
      <c r="V175" s="192"/>
      <c r="W175" s="192">
        <f>V175-N186</f>
        <v>-56109255.099999994</v>
      </c>
      <c r="Z175" s="192"/>
    </row>
    <row r="176" spans="1:26" ht="102" customHeight="1">
      <c r="A176" s="355"/>
      <c r="B176" s="137" t="s">
        <v>240</v>
      </c>
      <c r="C176" s="61" t="s">
        <v>255</v>
      </c>
      <c r="D176" s="64" t="s">
        <v>101</v>
      </c>
      <c r="E176" s="122">
        <v>1490</v>
      </c>
      <c r="F176" s="122">
        <v>1490</v>
      </c>
      <c r="G176" s="123">
        <f>((E176*8)+(F176*4))/12</f>
        <v>1490</v>
      </c>
      <c r="H176" s="60">
        <v>1490</v>
      </c>
      <c r="I176" s="60">
        <v>1490</v>
      </c>
      <c r="J176" s="75">
        <f>K176</f>
        <v>3978.73</v>
      </c>
      <c r="K176" s="46">
        <v>3978.73</v>
      </c>
      <c r="L176" s="184" t="s">
        <v>104</v>
      </c>
      <c r="M176" s="72" t="s">
        <v>104</v>
      </c>
      <c r="N176" s="73">
        <f>SUM(O176:R176)</f>
        <v>5928307.7000000002</v>
      </c>
      <c r="O176" s="73">
        <f>G176*K176</f>
        <v>5928307.7000000002</v>
      </c>
      <c r="P176" s="73" t="s">
        <v>104</v>
      </c>
      <c r="Q176" s="73"/>
      <c r="R176" s="73" t="s">
        <v>104</v>
      </c>
      <c r="S176" s="208"/>
      <c r="T176" s="46">
        <f>N176</f>
        <v>5928307.7000000002</v>
      </c>
      <c r="U176" s="46">
        <f t="shared" ref="U176:U181" si="49">T176</f>
        <v>5928307.7000000002</v>
      </c>
      <c r="V176" s="182">
        <v>56750133</v>
      </c>
      <c r="W176" s="192">
        <f>V176-T186</f>
        <v>640877.89999999106</v>
      </c>
      <c r="X176" s="280">
        <f>G160+G169+G175</f>
        <v>841</v>
      </c>
    </row>
    <row r="177" spans="1:27" ht="128.4" customHeight="1">
      <c r="A177" s="355"/>
      <c r="B177" s="137"/>
      <c r="C177" s="61" t="s">
        <v>254</v>
      </c>
      <c r="D177" s="64" t="s">
        <v>101</v>
      </c>
      <c r="E177" s="122"/>
      <c r="F177" s="122"/>
      <c r="G177" s="216">
        <v>495</v>
      </c>
      <c r="H177" s="59">
        <v>495</v>
      </c>
      <c r="I177" s="59">
        <v>495</v>
      </c>
      <c r="J177" s="73" t="s">
        <v>104</v>
      </c>
      <c r="K177" s="208" t="s">
        <v>104</v>
      </c>
      <c r="L177" s="185" t="s">
        <v>104</v>
      </c>
      <c r="M177" s="100">
        <v>0</v>
      </c>
      <c r="N177" s="73">
        <f>R177</f>
        <v>0</v>
      </c>
      <c r="O177" s="73"/>
      <c r="P177" s="73"/>
      <c r="Q177" s="73"/>
      <c r="R177" s="75">
        <f>G177*M177</f>
        <v>0</v>
      </c>
      <c r="S177" s="208"/>
      <c r="T177" s="46">
        <f>N177</f>
        <v>0</v>
      </c>
      <c r="U177" s="46">
        <f t="shared" si="49"/>
        <v>0</v>
      </c>
      <c r="W177" s="182">
        <f>W176/3</f>
        <v>213625.96666666368</v>
      </c>
      <c r="X177" s="192">
        <f>V186-R177</f>
        <v>10442370.34</v>
      </c>
      <c r="Y177" s="182">
        <f>X177/G186</f>
        <v>12416.611581450654</v>
      </c>
      <c r="Z177" s="182">
        <f>Y177*X176</f>
        <v>10442370.34</v>
      </c>
    </row>
    <row r="178" spans="1:27">
      <c r="A178" s="355"/>
      <c r="B178" s="69"/>
      <c r="C178" s="294" t="s">
        <v>106</v>
      </c>
      <c r="D178" s="69"/>
      <c r="E178" s="122">
        <f>SUM(E176:E176)</f>
        <v>1490</v>
      </c>
      <c r="F178" s="122">
        <f>SUM(F176:F176)</f>
        <v>1490</v>
      </c>
      <c r="G178" s="122">
        <f>SUM(G176:G176)</f>
        <v>1490</v>
      </c>
      <c r="H178" s="60">
        <f>SUM(H176:H176)</f>
        <v>1490</v>
      </c>
      <c r="I178" s="60">
        <f>SUM(I176:I176)</f>
        <v>1490</v>
      </c>
      <c r="J178" s="73" t="s">
        <v>104</v>
      </c>
      <c r="K178" s="208" t="s">
        <v>104</v>
      </c>
      <c r="L178" s="185" t="s">
        <v>104</v>
      </c>
      <c r="M178" s="74">
        <f>SUM(M176:M176)</f>
        <v>0</v>
      </c>
      <c r="N178" s="103">
        <f>SUM(N176:N177)</f>
        <v>5928307.7000000002</v>
      </c>
      <c r="O178" s="74">
        <f>SUM(O176:O176)</f>
        <v>5928307.7000000002</v>
      </c>
      <c r="P178" s="74">
        <f>SUM(P176:P176)</f>
        <v>0</v>
      </c>
      <c r="Q178" s="74"/>
      <c r="R178" s="74">
        <f>SUM(R176:R177)</f>
        <v>0</v>
      </c>
      <c r="S178" s="185"/>
      <c r="T178" s="185">
        <f>SUM(T176:T177)</f>
        <v>5928307.7000000002</v>
      </c>
      <c r="U178" s="46">
        <f t="shared" si="49"/>
        <v>5928307.7000000002</v>
      </c>
      <c r="Z178" s="192">
        <f>Z177+R177</f>
        <v>10442370.34</v>
      </c>
    </row>
    <row r="179" spans="1:27" ht="13.95" hidden="1" customHeight="1">
      <c r="A179" s="355"/>
      <c r="B179" s="69" t="s">
        <v>284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08"/>
      <c r="L179" s="185"/>
      <c r="M179" s="74"/>
      <c r="N179" s="74">
        <f>P179</f>
        <v>0</v>
      </c>
      <c r="O179" s="74"/>
      <c r="P179" s="74"/>
      <c r="Q179" s="74"/>
      <c r="R179" s="74"/>
      <c r="S179" s="185"/>
      <c r="T179" s="46">
        <f>P179</f>
        <v>0</v>
      </c>
      <c r="U179" s="46">
        <f t="shared" si="49"/>
        <v>0</v>
      </c>
      <c r="Z179" s="192"/>
    </row>
    <row r="180" spans="1:27" ht="13.95" hidden="1" customHeight="1">
      <c r="A180" s="355"/>
      <c r="B180" s="89" t="s">
        <v>225</v>
      </c>
      <c r="C180" s="181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08"/>
      <c r="L180" s="185"/>
      <c r="M180" s="74"/>
      <c r="N180" s="74">
        <f>S180</f>
        <v>0</v>
      </c>
      <c r="O180" s="74"/>
      <c r="P180" s="74"/>
      <c r="Q180" s="74"/>
      <c r="R180" s="74"/>
      <c r="S180" s="185"/>
      <c r="T180" s="46">
        <f>S180</f>
        <v>0</v>
      </c>
      <c r="U180" s="46">
        <f t="shared" si="49"/>
        <v>0</v>
      </c>
      <c r="V180" s="192"/>
    </row>
    <row r="181" spans="1:27" ht="13.95" hidden="1" customHeight="1">
      <c r="A181" s="355"/>
      <c r="B181" s="89" t="s">
        <v>225</v>
      </c>
      <c r="C181" s="181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08"/>
      <c r="L181" s="185"/>
      <c r="M181" s="74"/>
      <c r="N181" s="74">
        <f>S181</f>
        <v>0</v>
      </c>
      <c r="O181" s="74"/>
      <c r="P181" s="74"/>
      <c r="Q181" s="74"/>
      <c r="R181" s="74"/>
      <c r="S181" s="185"/>
      <c r="T181" s="46">
        <f>Q181</f>
        <v>0</v>
      </c>
      <c r="U181" s="46">
        <f t="shared" si="49"/>
        <v>0</v>
      </c>
      <c r="V181" s="192"/>
    </row>
    <row r="182" spans="1:27" ht="13.95" hidden="1" customHeight="1">
      <c r="A182" s="355"/>
      <c r="B182" s="89" t="s">
        <v>283</v>
      </c>
      <c r="C182" s="181" t="s">
        <v>219</v>
      </c>
      <c r="D182" s="64"/>
      <c r="E182" s="122"/>
      <c r="F182" s="122"/>
      <c r="G182" s="122"/>
      <c r="H182" s="60"/>
      <c r="I182" s="60"/>
      <c r="J182" s="73"/>
      <c r="K182" s="208"/>
      <c r="L182" s="185"/>
      <c r="M182" s="74"/>
      <c r="N182" s="74">
        <f>S182</f>
        <v>0</v>
      </c>
      <c r="O182" s="74"/>
      <c r="P182" s="74"/>
      <c r="Q182" s="74"/>
      <c r="R182" s="74"/>
      <c r="S182" s="185"/>
      <c r="T182" s="46"/>
      <c r="U182" s="46"/>
      <c r="V182" s="192"/>
    </row>
    <row r="183" spans="1:27">
      <c r="A183" s="355"/>
      <c r="B183" s="89" t="s">
        <v>290</v>
      </c>
      <c r="C183" s="181" t="s">
        <v>226</v>
      </c>
      <c r="D183" s="64"/>
      <c r="E183" s="122">
        <v>31</v>
      </c>
      <c r="F183" s="122">
        <v>31</v>
      </c>
      <c r="G183" s="122">
        <v>31</v>
      </c>
      <c r="H183" s="60">
        <v>31</v>
      </c>
      <c r="I183" s="60">
        <v>31</v>
      </c>
      <c r="J183" s="73"/>
      <c r="K183" s="208"/>
      <c r="L183" s="185"/>
      <c r="M183" s="74"/>
      <c r="N183" s="74">
        <f>O183</f>
        <v>3632580</v>
      </c>
      <c r="O183" s="74">
        <v>3632580</v>
      </c>
      <c r="P183" s="74"/>
      <c r="Q183" s="74"/>
      <c r="R183" s="74"/>
      <c r="S183" s="185"/>
      <c r="T183" s="46">
        <v>3632580</v>
      </c>
      <c r="U183" s="46">
        <f>T183</f>
        <v>3632580</v>
      </c>
      <c r="V183" s="192"/>
    </row>
    <row r="184" spans="1:27" ht="13.95" hidden="1" customHeight="1">
      <c r="A184" s="355"/>
      <c r="B184" s="89" t="s">
        <v>257</v>
      </c>
      <c r="C184" s="181" t="s">
        <v>226</v>
      </c>
      <c r="D184" s="64"/>
      <c r="E184" s="122"/>
      <c r="F184" s="122"/>
      <c r="G184" s="122"/>
      <c r="H184" s="60"/>
      <c r="I184" s="60"/>
      <c r="J184" s="73"/>
      <c r="K184" s="208"/>
      <c r="L184" s="185"/>
      <c r="M184" s="74"/>
      <c r="N184" s="74">
        <f>O184</f>
        <v>0</v>
      </c>
      <c r="O184" s="74"/>
      <c r="P184" s="74"/>
      <c r="Q184" s="74"/>
      <c r="R184" s="74"/>
      <c r="S184" s="185"/>
      <c r="T184" s="46">
        <f>O184</f>
        <v>0</v>
      </c>
      <c r="U184" s="46">
        <f>T184</f>
        <v>0</v>
      </c>
    </row>
    <row r="185" spans="1:27" ht="13.95" hidden="1" customHeight="1">
      <c r="A185" s="355"/>
      <c r="B185" s="89" t="s">
        <v>291</v>
      </c>
      <c r="C185" s="181" t="s">
        <v>226</v>
      </c>
      <c r="D185" s="64"/>
      <c r="E185" s="122"/>
      <c r="F185" s="122"/>
      <c r="G185" s="122"/>
      <c r="H185" s="60"/>
      <c r="I185" s="60"/>
      <c r="J185" s="73"/>
      <c r="K185" s="208"/>
      <c r="L185" s="185"/>
      <c r="M185" s="74"/>
      <c r="N185" s="74">
        <f>P185</f>
        <v>0</v>
      </c>
      <c r="O185" s="74"/>
      <c r="P185" s="74"/>
      <c r="Q185" s="74"/>
      <c r="R185" s="74"/>
      <c r="S185" s="185"/>
      <c r="T185" s="46"/>
      <c r="U185" s="46">
        <f>T185</f>
        <v>0</v>
      </c>
    </row>
    <row r="186" spans="1:27">
      <c r="A186" s="355"/>
      <c r="B186" s="101" t="s">
        <v>112</v>
      </c>
      <c r="C186" s="101"/>
      <c r="D186" s="69"/>
      <c r="E186" s="102">
        <f>E160+E169+E175</f>
        <v>841</v>
      </c>
      <c r="F186" s="102">
        <f>F160+F169+F175</f>
        <v>841</v>
      </c>
      <c r="G186" s="102">
        <f>G160+G169+G175</f>
        <v>841</v>
      </c>
      <c r="H186" s="102">
        <f>H160+H169+H175</f>
        <v>841</v>
      </c>
      <c r="I186" s="102">
        <f>I160+I169+I175</f>
        <v>841</v>
      </c>
      <c r="J186" s="104"/>
      <c r="K186" s="222"/>
      <c r="L186" s="138"/>
      <c r="M186" s="103"/>
      <c r="N186" s="103">
        <f>SUM(O186:S186)</f>
        <v>56109255.099999994</v>
      </c>
      <c r="O186" s="103">
        <f>O160+O169+O175+O178+O179+O180+O181+O183+O185</f>
        <v>40536431.880000003</v>
      </c>
      <c r="P186" s="103">
        <f>P160+P169+P175+P178+P179+P180+P181+P185</f>
        <v>3365673.59</v>
      </c>
      <c r="Q186" s="103">
        <f>Q160+Q169+Q175+Q178+Q179+Q180+Q181</f>
        <v>0</v>
      </c>
      <c r="R186" s="136">
        <f>R160+R169+R175+R178+R179+R180+R181+R182</f>
        <v>12207149.629999999</v>
      </c>
      <c r="S186" s="138">
        <f>S160+S169+S175+S178+S179+S180+S181+S182</f>
        <v>0</v>
      </c>
      <c r="T186" s="138">
        <f>T160+T169+T175+T178+T179+T180+T181+T182+T183+T184+T185</f>
        <v>56109255.100000009</v>
      </c>
      <c r="U186" s="138">
        <f>U160+U169+U175+U178+U179+U180+U181+U182+U183+U184+U185</f>
        <v>56109255.100000009</v>
      </c>
      <c r="V186" s="182">
        <v>10442370.34</v>
      </c>
      <c r="W186" s="192">
        <f>V186-R186</f>
        <v>-1764779.2899999991</v>
      </c>
      <c r="X186" s="182">
        <f>W186/G186</f>
        <v>-2098.4295957193808</v>
      </c>
      <c r="Z186" s="192">
        <f>N186-T186</f>
        <v>0</v>
      </c>
      <c r="AA186" s="285"/>
    </row>
    <row r="187" spans="1:27" ht="193.2">
      <c r="A187" s="355" t="s">
        <v>119</v>
      </c>
      <c r="B187" s="356" t="s">
        <v>237</v>
      </c>
      <c r="C187" s="61" t="s">
        <v>120</v>
      </c>
      <c r="D187" s="62" t="s">
        <v>121</v>
      </c>
      <c r="E187" s="216" t="s">
        <v>321</v>
      </c>
      <c r="F187" s="216" t="s">
        <v>321</v>
      </c>
      <c r="G187" s="216" t="s">
        <v>321</v>
      </c>
      <c r="H187" s="216" t="s">
        <v>321</v>
      </c>
      <c r="I187" s="216" t="s">
        <v>321</v>
      </c>
      <c r="J187" s="107" t="s">
        <v>348</v>
      </c>
      <c r="K187" s="221" t="s">
        <v>343</v>
      </c>
      <c r="L187" s="212" t="s">
        <v>185</v>
      </c>
      <c r="M187" s="70" t="s">
        <v>354</v>
      </c>
      <c r="N187" s="71">
        <f>SUM(O187:R187)</f>
        <v>2498340.8600000003</v>
      </c>
      <c r="O187" s="71">
        <f>((((672261.79*2/12*8)+(672261.79*2/12*4))+((1351.63*44)/12*8+(1351.63*44)/12*4)))</f>
        <v>1403995.3</v>
      </c>
      <c r="P187" s="71">
        <f>((4001.99*44)/12*8)+((4001.99*44)/12*4)</f>
        <v>176087.56</v>
      </c>
      <c r="Q187" s="71"/>
      <c r="R187" s="75">
        <f>((20869.5*44)/12*8)+((20869.5*44)/12*4)</f>
        <v>918258</v>
      </c>
      <c r="S187" s="46"/>
      <c r="T187" s="46">
        <f>N187</f>
        <v>2498340.8600000003</v>
      </c>
      <c r="U187" s="46">
        <f>T187</f>
        <v>2498340.8600000003</v>
      </c>
      <c r="V187" s="182">
        <f>N187/3</f>
        <v>832780.28666666674</v>
      </c>
      <c r="W187" s="182">
        <f>12300.53*67</f>
        <v>824135.51</v>
      </c>
      <c r="X187" s="182">
        <f>1342.39+12011.78+(4001.99*2.3654)</f>
        <v>22820.477146000001</v>
      </c>
      <c r="Y187" s="182">
        <f>4001.99*2.3654</f>
        <v>9466.307146000001</v>
      </c>
    </row>
    <row r="188" spans="1:27" ht="179.4">
      <c r="A188" s="355"/>
      <c r="B188" s="356"/>
      <c r="C188" s="61" t="s">
        <v>128</v>
      </c>
      <c r="D188" s="62" t="s">
        <v>121</v>
      </c>
      <c r="E188" s="216" t="s">
        <v>140</v>
      </c>
      <c r="F188" s="216" t="s">
        <v>140</v>
      </c>
      <c r="G188" s="216" t="s">
        <v>140</v>
      </c>
      <c r="H188" s="216" t="s">
        <v>140</v>
      </c>
      <c r="I188" s="216" t="s">
        <v>140</v>
      </c>
      <c r="J188" s="107" t="s">
        <v>349</v>
      </c>
      <c r="K188" s="221" t="s">
        <v>344</v>
      </c>
      <c r="L188" s="212" t="s">
        <v>185</v>
      </c>
      <c r="M188" s="70" t="s">
        <v>354</v>
      </c>
      <c r="N188" s="71">
        <f>SUM(O188:R188)</f>
        <v>3127684.77</v>
      </c>
      <c r="O188" s="71">
        <f>((((631732.78*3)/12*8+(631732.78*3)/12*4)+((1351.63*47)/12*8+(1351.63*47)/12*4)))</f>
        <v>1958724.9500000002</v>
      </c>
      <c r="P188" s="71">
        <f>((4001.99*47)/12*8)+((4001.99*47)/12*4)</f>
        <v>188093.53</v>
      </c>
      <c r="Q188" s="71"/>
      <c r="R188" s="75">
        <f>((20869.5*47)/12*8)+((20869.5*47)/12*4)-0.21</f>
        <v>980866.29</v>
      </c>
      <c r="S188" s="46"/>
      <c r="T188" s="46">
        <f>N188</f>
        <v>3127684.77</v>
      </c>
      <c r="U188" s="46">
        <f>T188</f>
        <v>3127684.77</v>
      </c>
      <c r="W188" s="182">
        <f>12300.53*19</f>
        <v>233710.07</v>
      </c>
    </row>
    <row r="189" spans="1:27" ht="82.8">
      <c r="A189" s="355"/>
      <c r="B189" s="356"/>
      <c r="C189" s="63" t="s">
        <v>102</v>
      </c>
      <c r="D189" s="64" t="s">
        <v>101</v>
      </c>
      <c r="E189" s="217"/>
      <c r="F189" s="217"/>
      <c r="G189" s="217"/>
      <c r="H189" s="65"/>
      <c r="I189" s="65"/>
      <c r="J189" s="150" t="s">
        <v>103</v>
      </c>
      <c r="K189" s="209" t="s">
        <v>103</v>
      </c>
      <c r="L189" s="209" t="s">
        <v>103</v>
      </c>
      <c r="M189" s="150" t="s">
        <v>103</v>
      </c>
      <c r="N189" s="71">
        <f t="shared" ref="N189:N194" si="50">SUM(O189:R189)</f>
        <v>0</v>
      </c>
      <c r="O189" s="150" t="s">
        <v>103</v>
      </c>
      <c r="P189" s="150" t="s">
        <v>103</v>
      </c>
      <c r="Q189" s="150"/>
      <c r="R189" s="150" t="s">
        <v>103</v>
      </c>
      <c r="S189" s="209"/>
      <c r="T189" s="46">
        <f t="shared" ref="T189:T194" si="51">N189</f>
        <v>0</v>
      </c>
      <c r="U189" s="46">
        <f t="shared" ref="U189:U194" si="52">T189</f>
        <v>0</v>
      </c>
    </row>
    <row r="190" spans="1:27">
      <c r="A190" s="355"/>
      <c r="B190" s="356"/>
      <c r="C190" s="63" t="s">
        <v>169</v>
      </c>
      <c r="D190" s="64" t="s">
        <v>101</v>
      </c>
      <c r="E190" s="123">
        <v>1</v>
      </c>
      <c r="F190" s="123">
        <v>1</v>
      </c>
      <c r="G190" s="123">
        <f>((E190*8)+(F190*4))/12</f>
        <v>1</v>
      </c>
      <c r="H190" s="59">
        <v>1</v>
      </c>
      <c r="I190" s="59">
        <v>1</v>
      </c>
      <c r="J190" s="75">
        <f>K190</f>
        <v>83951.08</v>
      </c>
      <c r="K190" s="46">
        <v>83951.08</v>
      </c>
      <c r="L190" s="209"/>
      <c r="M190" s="150"/>
      <c r="N190" s="71"/>
      <c r="O190" s="71">
        <f>G190*K190</f>
        <v>83951.08</v>
      </c>
      <c r="P190" s="150"/>
      <c r="Q190" s="150"/>
      <c r="R190" s="150"/>
      <c r="S190" s="209"/>
      <c r="T190" s="46">
        <f>H190*K190</f>
        <v>83951.08</v>
      </c>
      <c r="U190" s="46">
        <f>T190</f>
        <v>83951.08</v>
      </c>
    </row>
    <row r="191" spans="1:27">
      <c r="A191" s="355"/>
      <c r="B191" s="356"/>
      <c r="C191" s="63" t="s">
        <v>166</v>
      </c>
      <c r="D191" s="64" t="s">
        <v>101</v>
      </c>
      <c r="E191" s="123">
        <v>6</v>
      </c>
      <c r="F191" s="123">
        <v>6</v>
      </c>
      <c r="G191" s="123">
        <f>((E191*8)+(F191*4))/12</f>
        <v>6</v>
      </c>
      <c r="H191" s="59">
        <v>6</v>
      </c>
      <c r="I191" s="59">
        <v>6</v>
      </c>
      <c r="J191" s="75">
        <f>K191</f>
        <v>80305.41</v>
      </c>
      <c r="K191" s="46">
        <v>80305.41</v>
      </c>
      <c r="L191" s="184"/>
      <c r="M191" s="72"/>
      <c r="N191" s="71">
        <f t="shared" si="50"/>
        <v>481832.46</v>
      </c>
      <c r="O191" s="71">
        <f t="shared" ref="O191:O192" si="53">G191*K191</f>
        <v>481832.46</v>
      </c>
      <c r="P191" s="71"/>
      <c r="Q191" s="71"/>
      <c r="R191" s="118"/>
      <c r="S191" s="210"/>
      <c r="T191" s="46">
        <f t="shared" si="51"/>
        <v>481832.46</v>
      </c>
      <c r="U191" s="46">
        <f t="shared" si="52"/>
        <v>481832.46</v>
      </c>
    </row>
    <row r="192" spans="1:27">
      <c r="A192" s="355"/>
      <c r="B192" s="356"/>
      <c r="C192" s="63" t="s">
        <v>168</v>
      </c>
      <c r="D192" s="64" t="s">
        <v>101</v>
      </c>
      <c r="E192" s="123"/>
      <c r="F192" s="123"/>
      <c r="G192" s="123">
        <f>((E192*8)+(F192*4))/12</f>
        <v>0</v>
      </c>
      <c r="H192" s="59"/>
      <c r="I192" s="59"/>
      <c r="J192" s="75">
        <f>K192</f>
        <v>28464.5</v>
      </c>
      <c r="K192" s="46">
        <v>28464.5</v>
      </c>
      <c r="L192" s="184"/>
      <c r="M192" s="72"/>
      <c r="N192" s="71">
        <f t="shared" si="50"/>
        <v>0</v>
      </c>
      <c r="O192" s="71">
        <f t="shared" si="53"/>
        <v>0</v>
      </c>
      <c r="P192" s="71"/>
      <c r="Q192" s="71"/>
      <c r="R192" s="118"/>
      <c r="S192" s="210"/>
      <c r="T192" s="46">
        <f t="shared" si="51"/>
        <v>0</v>
      </c>
      <c r="U192" s="46">
        <f t="shared" si="52"/>
        <v>0</v>
      </c>
    </row>
    <row r="193" spans="1:24" ht="83.4" customHeight="1">
      <c r="A193" s="355"/>
      <c r="B193" s="356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182510.30000000002</v>
      </c>
      <c r="K193" s="46">
        <f>181158.67+1351.63</f>
        <v>182510.30000000002</v>
      </c>
      <c r="L193" s="212" t="s">
        <v>185</v>
      </c>
      <c r="M193" s="70" t="s">
        <v>354</v>
      </c>
      <c r="N193" s="71">
        <f t="shared" si="50"/>
        <v>207381.79</v>
      </c>
      <c r="O193" s="71">
        <f>G193*K193</f>
        <v>182510.30000000002</v>
      </c>
      <c r="P193" s="71">
        <f>G193*4001.99</f>
        <v>4001.99</v>
      </c>
      <c r="Q193" s="71"/>
      <c r="R193" s="71">
        <f>G193*20869.5</f>
        <v>20869.5</v>
      </c>
      <c r="S193" s="210"/>
      <c r="T193" s="46">
        <f>N193</f>
        <v>207381.79</v>
      </c>
      <c r="U193" s="46">
        <f t="shared" si="52"/>
        <v>207381.79</v>
      </c>
    </row>
    <row r="194" spans="1:24" ht="96.6">
      <c r="A194" s="355"/>
      <c r="B194" s="356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25935.439999999999</v>
      </c>
      <c r="K194" s="46">
        <v>25935.439999999999</v>
      </c>
      <c r="L194" s="206" t="s">
        <v>104</v>
      </c>
      <c r="M194" s="71" t="s">
        <v>104</v>
      </c>
      <c r="N194" s="71">
        <f t="shared" si="50"/>
        <v>0</v>
      </c>
      <c r="O194" s="71">
        <f>G194*K194</f>
        <v>0</v>
      </c>
      <c r="P194" s="71" t="s">
        <v>104</v>
      </c>
      <c r="Q194" s="71"/>
      <c r="R194" s="118" t="s">
        <v>104</v>
      </c>
      <c r="S194" s="210"/>
      <c r="T194" s="46">
        <f t="shared" si="51"/>
        <v>0</v>
      </c>
      <c r="U194" s="46">
        <f t="shared" si="52"/>
        <v>0</v>
      </c>
    </row>
    <row r="195" spans="1:24">
      <c r="A195" s="355"/>
      <c r="B195" s="356"/>
      <c r="C195" s="294" t="s">
        <v>106</v>
      </c>
      <c r="D195" s="67"/>
      <c r="E195" s="216" t="s">
        <v>322</v>
      </c>
      <c r="F195" s="216" t="s">
        <v>322</v>
      </c>
      <c r="G195" s="216" t="s">
        <v>322</v>
      </c>
      <c r="H195" s="216" t="s">
        <v>322</v>
      </c>
      <c r="I195" s="216" t="s">
        <v>322</v>
      </c>
      <c r="J195" s="71" t="s">
        <v>104</v>
      </c>
      <c r="K195" s="206" t="s">
        <v>104</v>
      </c>
      <c r="L195" s="206" t="s">
        <v>104</v>
      </c>
      <c r="M195" s="71" t="s">
        <v>104</v>
      </c>
      <c r="N195" s="118">
        <f>SUM(O195:R195)</f>
        <v>6399190.96</v>
      </c>
      <c r="O195" s="71">
        <f>SUM(O187:O194)</f>
        <v>4111014.09</v>
      </c>
      <c r="P195" s="71">
        <f>SUM(P187:P194)</f>
        <v>368183.07999999996</v>
      </c>
      <c r="Q195" s="71"/>
      <c r="R195" s="118">
        <f>SUM(R187:R194)</f>
        <v>1919993.79</v>
      </c>
      <c r="S195" s="206"/>
      <c r="T195" s="286">
        <f>SUM(T187:T194)</f>
        <v>6399190.9600000009</v>
      </c>
      <c r="U195" s="206">
        <f>SUM(U187:U194)</f>
        <v>6399190.9600000009</v>
      </c>
    </row>
    <row r="196" spans="1:24" ht="193.2">
      <c r="A196" s="355"/>
      <c r="B196" s="356" t="s">
        <v>238</v>
      </c>
      <c r="C196" s="61" t="s">
        <v>120</v>
      </c>
      <c r="D196" s="62" t="s">
        <v>121</v>
      </c>
      <c r="E196" s="216" t="s">
        <v>122</v>
      </c>
      <c r="F196" s="216" t="s">
        <v>122</v>
      </c>
      <c r="G196" s="216" t="s">
        <v>122</v>
      </c>
      <c r="H196" s="216" t="s">
        <v>122</v>
      </c>
      <c r="I196" s="216" t="s">
        <v>122</v>
      </c>
      <c r="J196" s="107" t="s">
        <v>350</v>
      </c>
      <c r="K196" s="221" t="s">
        <v>345</v>
      </c>
      <c r="L196" s="212" t="s">
        <v>185</v>
      </c>
      <c r="M196" s="70" t="s">
        <v>355</v>
      </c>
      <c r="N196" s="71">
        <f>SUM(O196:R196)</f>
        <v>3187028.66</v>
      </c>
      <c r="O196" s="71">
        <f>((((996986.3*2)/12*8+(996986.3*2)/12*4)+((1649.65*46)/12*8+(1649.65*46)/12*4)))</f>
        <v>2069856.5</v>
      </c>
      <c r="P196" s="71">
        <f>((4001.99*46)/12*8)+((4001.99*46)/12*4)</f>
        <v>184091.53999999998</v>
      </c>
      <c r="Q196" s="71"/>
      <c r="R196" s="71">
        <f>((20284.35*46)/12*8)+((20284.35*46)/12*4)+0.52</f>
        <v>933080.62000000011</v>
      </c>
      <c r="S196" s="206"/>
      <c r="T196" s="46">
        <f>N196</f>
        <v>3187028.66</v>
      </c>
      <c r="U196" s="46">
        <f>T196</f>
        <v>3187028.66</v>
      </c>
      <c r="V196" s="281"/>
      <c r="W196" s="182">
        <f>12300.53*86</f>
        <v>1057845.58</v>
      </c>
    </row>
    <row r="197" spans="1:24" ht="179.4">
      <c r="A197" s="355"/>
      <c r="B197" s="356"/>
      <c r="C197" s="61" t="s">
        <v>128</v>
      </c>
      <c r="D197" s="62" t="s">
        <v>121</v>
      </c>
      <c r="E197" s="190" t="s">
        <v>323</v>
      </c>
      <c r="F197" s="190" t="s">
        <v>323</v>
      </c>
      <c r="G197" s="190" t="s">
        <v>323</v>
      </c>
      <c r="H197" s="190" t="s">
        <v>323</v>
      </c>
      <c r="I197" s="190" t="s">
        <v>323</v>
      </c>
      <c r="J197" s="107" t="s">
        <v>351</v>
      </c>
      <c r="K197" s="221" t="s">
        <v>346</v>
      </c>
      <c r="L197" s="212" t="s">
        <v>185</v>
      </c>
      <c r="M197" s="70" t="s">
        <v>355</v>
      </c>
      <c r="N197" s="71">
        <f>SUM(O197:R197)</f>
        <v>4768672.3</v>
      </c>
      <c r="O197" s="71">
        <f>((((790160.23*4)/12*8+(790160.23*4)/12*4)+((1649.65*62)/12*8+(1649.65*62)/12*4)))</f>
        <v>3262919.2199999997</v>
      </c>
      <c r="P197" s="71">
        <f>((4001.99*62)/12*8)+((4001.99*62)/12*4)</f>
        <v>248123.37999999995</v>
      </c>
      <c r="Q197" s="71"/>
      <c r="R197" s="287">
        <f>((20284.35*62)/12*8)+((20284.35*62)/12*4)</f>
        <v>1257629.7</v>
      </c>
      <c r="S197" s="206"/>
      <c r="T197" s="46">
        <f>N197</f>
        <v>4768672.3</v>
      </c>
      <c r="U197" s="46">
        <f>T197</f>
        <v>4768672.3</v>
      </c>
      <c r="W197" s="182">
        <f>12300.53*29</f>
        <v>356715.37</v>
      </c>
      <c r="X197" s="182">
        <f>1638.38+12011.78+(4001.99*2.3654)</f>
        <v>23116.467146000003</v>
      </c>
    </row>
    <row r="198" spans="1:24" ht="82.8">
      <c r="A198" s="355"/>
      <c r="B198" s="356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59" t="s">
        <v>104</v>
      </c>
      <c r="N198" s="71"/>
      <c r="O198" s="71"/>
      <c r="P198" s="59" t="s">
        <v>104</v>
      </c>
      <c r="Q198" s="59"/>
      <c r="R198" s="59" t="s">
        <v>104</v>
      </c>
      <c r="S198" s="123"/>
      <c r="T198" s="46"/>
      <c r="U198" s="46"/>
    </row>
    <row r="199" spans="1:24">
      <c r="A199" s="355"/>
      <c r="B199" s="275"/>
      <c r="C199" s="63" t="s">
        <v>165</v>
      </c>
      <c r="D199" s="64"/>
      <c r="E199" s="122"/>
      <c r="F199" s="122"/>
      <c r="G199" s="123">
        <f>((E199*8)+(F199*4))/12</f>
        <v>0</v>
      </c>
      <c r="H199" s="60"/>
      <c r="I199" s="60"/>
      <c r="J199" s="75">
        <f>K199</f>
        <v>112171.32</v>
      </c>
      <c r="K199" s="46">
        <v>112171.32</v>
      </c>
      <c r="L199" s="123" t="s">
        <v>104</v>
      </c>
      <c r="M199" s="59" t="s">
        <v>104</v>
      </c>
      <c r="N199" s="71">
        <f>O199</f>
        <v>0</v>
      </c>
      <c r="O199" s="73">
        <f>G199*K199</f>
        <v>0</v>
      </c>
      <c r="P199" s="59" t="s">
        <v>104</v>
      </c>
      <c r="Q199" s="59"/>
      <c r="R199" s="59" t="s">
        <v>104</v>
      </c>
      <c r="S199" s="123"/>
      <c r="T199" s="46">
        <f>H199*K199</f>
        <v>0</v>
      </c>
      <c r="U199" s="46">
        <f>I199*K199</f>
        <v>0</v>
      </c>
    </row>
    <row r="200" spans="1:24">
      <c r="A200" s="355"/>
      <c r="B200" s="275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28464.5</v>
      </c>
      <c r="K200" s="46">
        <v>28464.5</v>
      </c>
      <c r="L200" s="213" t="s">
        <v>104</v>
      </c>
      <c r="M200" s="59" t="s">
        <v>104</v>
      </c>
      <c r="N200" s="71">
        <f>O200</f>
        <v>28464.5</v>
      </c>
      <c r="O200" s="73">
        <f>G200*K200</f>
        <v>28464.5</v>
      </c>
      <c r="P200" s="59" t="s">
        <v>104</v>
      </c>
      <c r="Q200" s="59"/>
      <c r="R200" s="59" t="s">
        <v>104</v>
      </c>
      <c r="S200" s="123"/>
      <c r="T200" s="46">
        <f>H200*K200</f>
        <v>28464.5</v>
      </c>
      <c r="U200" s="46">
        <f>I200*K200</f>
        <v>28464.5</v>
      </c>
    </row>
    <row r="201" spans="1:24" ht="96.6">
      <c r="A201" s="355"/>
      <c r="B201" s="275"/>
      <c r="C201" s="76" t="s">
        <v>173</v>
      </c>
      <c r="D201" s="64" t="s">
        <v>101</v>
      </c>
      <c r="E201" s="190"/>
      <c r="F201" s="190"/>
      <c r="G201" s="123"/>
      <c r="H201" s="79"/>
      <c r="I201" s="79"/>
      <c r="J201" s="75">
        <f>SUM(K201:M201)</f>
        <v>227703.62</v>
      </c>
      <c r="K201" s="46">
        <f>226053.97+1649.65</f>
        <v>227703.62</v>
      </c>
      <c r="L201" s="212" t="s">
        <v>185</v>
      </c>
      <c r="M201" s="70" t="s">
        <v>355</v>
      </c>
      <c r="N201" s="73">
        <f>SUM(O201:R201)</f>
        <v>0</v>
      </c>
      <c r="O201" s="73">
        <f>G201*K201</f>
        <v>0</v>
      </c>
      <c r="P201" s="73">
        <f>G201*4001.99</f>
        <v>0</v>
      </c>
      <c r="Q201" s="73"/>
      <c r="R201" s="73"/>
      <c r="S201" s="208"/>
      <c r="T201" s="46">
        <f>N201</f>
        <v>0</v>
      </c>
      <c r="U201" s="46">
        <f>T201</f>
        <v>0</v>
      </c>
    </row>
    <row r="202" spans="1:24" ht="96.6">
      <c r="A202" s="355"/>
      <c r="B202" s="275"/>
      <c r="C202" s="61" t="s">
        <v>174</v>
      </c>
      <c r="D202" s="64" t="s">
        <v>101</v>
      </c>
      <c r="E202" s="190">
        <v>3</v>
      </c>
      <c r="F202" s="190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41064.449999999997</v>
      </c>
      <c r="K202" s="46">
        <v>41064.449999999997</v>
      </c>
      <c r="L202" s="185"/>
      <c r="M202" s="74"/>
      <c r="N202" s="73">
        <f>O202</f>
        <v>123193.34999999999</v>
      </c>
      <c r="O202" s="73">
        <f>G202*K202</f>
        <v>123193.34999999999</v>
      </c>
      <c r="P202" s="73"/>
      <c r="Q202" s="73"/>
      <c r="R202" s="73"/>
      <c r="S202" s="208"/>
      <c r="T202" s="46">
        <f>H202*K202</f>
        <v>123193.34999999999</v>
      </c>
      <c r="U202" s="46">
        <f>I202*K202</f>
        <v>123193.34999999999</v>
      </c>
    </row>
    <row r="203" spans="1:24">
      <c r="A203" s="355"/>
      <c r="B203" s="275"/>
      <c r="C203" s="294" t="s">
        <v>106</v>
      </c>
      <c r="D203" s="64"/>
      <c r="E203" s="218" t="s">
        <v>324</v>
      </c>
      <c r="F203" s="218" t="s">
        <v>324</v>
      </c>
      <c r="G203" s="218" t="s">
        <v>324</v>
      </c>
      <c r="H203" s="218" t="s">
        <v>324</v>
      </c>
      <c r="I203" s="218" t="s">
        <v>324</v>
      </c>
      <c r="J203" s="73" t="s">
        <v>104</v>
      </c>
      <c r="K203" s="208" t="s">
        <v>104</v>
      </c>
      <c r="L203" s="185" t="s">
        <v>104</v>
      </c>
      <c r="M203" s="74" t="s">
        <v>104</v>
      </c>
      <c r="N203" s="103">
        <f>SUM(O203:R203)</f>
        <v>8107358.8099999996</v>
      </c>
      <c r="O203" s="74">
        <f>SUM(O196:O202)</f>
        <v>5484433.5699999994</v>
      </c>
      <c r="P203" s="74">
        <f>SUM(P196:P202)</f>
        <v>432214.91999999993</v>
      </c>
      <c r="Q203" s="74"/>
      <c r="R203" s="103">
        <f>SUM(R196:R202)</f>
        <v>2190710.3200000003</v>
      </c>
      <c r="S203" s="185"/>
      <c r="T203" s="206">
        <f>SUM(T196:T202)</f>
        <v>8107358.8099999996</v>
      </c>
      <c r="U203" s="185">
        <f>T203</f>
        <v>8107358.8099999996</v>
      </c>
    </row>
    <row r="204" spans="1:24" ht="179.4">
      <c r="A204" s="355"/>
      <c r="B204" s="275" t="s">
        <v>239</v>
      </c>
      <c r="C204" s="61" t="s">
        <v>128</v>
      </c>
      <c r="D204" s="62" t="s">
        <v>121</v>
      </c>
      <c r="E204" s="216" t="s">
        <v>325</v>
      </c>
      <c r="F204" s="216" t="s">
        <v>325</v>
      </c>
      <c r="G204" s="216" t="s">
        <v>325</v>
      </c>
      <c r="H204" s="216" t="s">
        <v>325</v>
      </c>
      <c r="I204" s="216" t="s">
        <v>325</v>
      </c>
      <c r="J204" s="287" t="s">
        <v>352</v>
      </c>
      <c r="K204" s="221" t="s">
        <v>347</v>
      </c>
      <c r="L204" s="212" t="s">
        <v>185</v>
      </c>
      <c r="M204" s="70" t="s">
        <v>356</v>
      </c>
      <c r="N204" s="73">
        <f>SUM(O204:R204)</f>
        <v>2609232.12</v>
      </c>
      <c r="O204" s="71">
        <f>((((844004.86*2)/12*8+(844004.86*2)/12*4)+((1998.78*18)/12*8+(1998.78*18)/12*4)))</f>
        <v>1723987.7599999998</v>
      </c>
      <c r="P204" s="73">
        <f>((18*4001.99)/12*8)+((18*4001.99)/12*4)</f>
        <v>72035.819999999992</v>
      </c>
      <c r="Q204" s="73"/>
      <c r="R204" s="75">
        <f>45178.25*18+0.04</f>
        <v>813208.54</v>
      </c>
      <c r="S204" s="46"/>
      <c r="T204" s="46">
        <f>N204</f>
        <v>2609232.12</v>
      </c>
      <c r="U204" s="46">
        <f>T204</f>
        <v>2609232.12</v>
      </c>
    </row>
    <row r="205" spans="1:24" ht="82.8">
      <c r="A205" s="355"/>
      <c r="B205" s="275"/>
      <c r="C205" s="63" t="s">
        <v>163</v>
      </c>
      <c r="D205" s="64" t="s">
        <v>101</v>
      </c>
      <c r="E205" s="216"/>
      <c r="F205" s="216"/>
      <c r="G205" s="216"/>
      <c r="H205" s="121"/>
      <c r="I205" s="121"/>
      <c r="J205" s="107"/>
      <c r="K205" s="221"/>
      <c r="L205" s="212"/>
      <c r="M205" s="70"/>
      <c r="N205" s="73"/>
      <c r="O205" s="71"/>
      <c r="P205" s="73"/>
      <c r="Q205" s="73"/>
      <c r="R205" s="75"/>
      <c r="S205" s="46"/>
      <c r="T205" s="46"/>
      <c r="U205" s="46"/>
    </row>
    <row r="206" spans="1:24">
      <c r="A206" s="355"/>
      <c r="B206" s="275"/>
      <c r="C206" s="63" t="s">
        <v>165</v>
      </c>
      <c r="D206" s="64" t="s">
        <v>101</v>
      </c>
      <c r="E206" s="216">
        <v>1</v>
      </c>
      <c r="F206" s="216">
        <v>1</v>
      </c>
      <c r="G206" s="123">
        <f>((E206*8)+(F206*4))/12</f>
        <v>1</v>
      </c>
      <c r="H206" s="121">
        <v>1</v>
      </c>
      <c r="I206" s="121">
        <v>1</v>
      </c>
      <c r="J206" s="107">
        <f>K206</f>
        <v>112171.32</v>
      </c>
      <c r="K206" s="221">
        <v>112171.32</v>
      </c>
      <c r="L206" s="212"/>
      <c r="M206" s="70"/>
      <c r="N206" s="73">
        <f>O206</f>
        <v>112171.32</v>
      </c>
      <c r="O206" s="71">
        <f>K206*G206</f>
        <v>112171.32</v>
      </c>
      <c r="P206" s="73"/>
      <c r="Q206" s="73"/>
      <c r="R206" s="75"/>
      <c r="S206" s="46"/>
      <c r="T206" s="46">
        <f>G206*K206</f>
        <v>112171.32</v>
      </c>
      <c r="U206" s="46">
        <f>T206</f>
        <v>112171.32</v>
      </c>
    </row>
    <row r="207" spans="1:24">
      <c r="A207" s="355"/>
      <c r="B207" s="275"/>
      <c r="C207" s="63" t="s">
        <v>168</v>
      </c>
      <c r="D207" s="64" t="s">
        <v>101</v>
      </c>
      <c r="E207" s="216"/>
      <c r="F207" s="216"/>
      <c r="G207" s="123">
        <f>((E207*8)+(F207*4))/12</f>
        <v>0</v>
      </c>
      <c r="H207" s="121"/>
      <c r="I207" s="121"/>
      <c r="J207" s="107">
        <f>K207</f>
        <v>28464.5</v>
      </c>
      <c r="K207" s="221">
        <v>28464.5</v>
      </c>
      <c r="L207" s="212"/>
      <c r="M207" s="70"/>
      <c r="N207" s="73">
        <f>O207</f>
        <v>0</v>
      </c>
      <c r="O207" s="71">
        <f>K207*G207</f>
        <v>0</v>
      </c>
      <c r="P207" s="73"/>
      <c r="Q207" s="73"/>
      <c r="R207" s="75"/>
      <c r="S207" s="46"/>
      <c r="T207" s="46">
        <f>G207*K207</f>
        <v>0</v>
      </c>
      <c r="U207" s="46">
        <f>T207</f>
        <v>0</v>
      </c>
    </row>
    <row r="208" spans="1:24">
      <c r="A208" s="355"/>
      <c r="B208" s="275"/>
      <c r="C208" s="294" t="s">
        <v>106</v>
      </c>
      <c r="D208" s="64"/>
      <c r="E208" s="216" t="str">
        <f>E204</f>
        <v>2\18</v>
      </c>
      <c r="F208" s="216" t="str">
        <f>F204</f>
        <v>2\18</v>
      </c>
      <c r="G208" s="216" t="str">
        <f>G204</f>
        <v>2\18</v>
      </c>
      <c r="H208" s="121" t="str">
        <f>H204</f>
        <v>2\18</v>
      </c>
      <c r="I208" s="121" t="str">
        <f>I204</f>
        <v>2\18</v>
      </c>
      <c r="J208" s="73" t="s">
        <v>104</v>
      </c>
      <c r="K208" s="208" t="s">
        <v>104</v>
      </c>
      <c r="L208" s="185" t="s">
        <v>104</v>
      </c>
      <c r="M208" s="74" t="s">
        <v>104</v>
      </c>
      <c r="N208" s="103">
        <f>SUM(N204:N207)</f>
        <v>2721403.44</v>
      </c>
      <c r="O208" s="74">
        <f>SUM(O204:O207)</f>
        <v>1836159.0799999998</v>
      </c>
      <c r="P208" s="74">
        <f>SUM(P204:P207)</f>
        <v>72035.819999999992</v>
      </c>
      <c r="Q208" s="74"/>
      <c r="R208" s="103">
        <f>SUM(R204:R207)</f>
        <v>813208.54</v>
      </c>
      <c r="S208" s="185"/>
      <c r="T208" s="185">
        <f>SUM(T204:T207)</f>
        <v>2721403.44</v>
      </c>
      <c r="U208" s="185">
        <f>SUM(U204:U207)</f>
        <v>2721403.44</v>
      </c>
    </row>
    <row r="209" spans="1:24" ht="102" customHeight="1">
      <c r="A209" s="355"/>
      <c r="B209" s="137" t="s">
        <v>240</v>
      </c>
      <c r="C209" s="61" t="s">
        <v>186</v>
      </c>
      <c r="D209" s="64" t="s">
        <v>101</v>
      </c>
      <c r="E209" s="122">
        <v>439</v>
      </c>
      <c r="F209" s="122">
        <v>439</v>
      </c>
      <c r="G209" s="122">
        <v>439</v>
      </c>
      <c r="H209" s="60">
        <v>439</v>
      </c>
      <c r="I209" s="60">
        <v>439</v>
      </c>
      <c r="J209" s="75">
        <f>K209</f>
        <v>4982.75</v>
      </c>
      <c r="K209" s="46">
        <v>4982.75</v>
      </c>
      <c r="L209" s="184" t="s">
        <v>104</v>
      </c>
      <c r="M209" s="72" t="s">
        <v>104</v>
      </c>
      <c r="N209" s="73">
        <f>SUM(O209:R209)</f>
        <v>2187427.25</v>
      </c>
      <c r="O209" s="73">
        <f>K209*G209</f>
        <v>2187427.25</v>
      </c>
      <c r="P209" s="73" t="s">
        <v>104</v>
      </c>
      <c r="Q209" s="73"/>
      <c r="R209" s="73" t="s">
        <v>104</v>
      </c>
      <c r="S209" s="208"/>
      <c r="T209" s="46">
        <f>N209</f>
        <v>2187427.25</v>
      </c>
      <c r="U209" s="46">
        <f t="shared" ref="U209:U216" si="54">T209</f>
        <v>2187427.25</v>
      </c>
      <c r="V209" s="182">
        <v>20319160.32</v>
      </c>
      <c r="W209" s="192">
        <f>T218-V209</f>
        <v>619560.1400000006</v>
      </c>
    </row>
    <row r="210" spans="1:24">
      <c r="A210" s="355"/>
      <c r="B210" s="69"/>
      <c r="C210" s="294" t="s">
        <v>106</v>
      </c>
      <c r="D210" s="69"/>
      <c r="E210" s="122">
        <f>SUM(E209:E209)</f>
        <v>439</v>
      </c>
      <c r="F210" s="122">
        <f>SUM(F209:F209)</f>
        <v>439</v>
      </c>
      <c r="G210" s="122">
        <f>SUM(G209:G209)</f>
        <v>439</v>
      </c>
      <c r="H210" s="60">
        <f>SUM(H209:H209)</f>
        <v>439</v>
      </c>
      <c r="I210" s="60">
        <f>SUM(I209:I209)</f>
        <v>439</v>
      </c>
      <c r="J210" s="74" t="s">
        <v>104</v>
      </c>
      <c r="K210" s="185" t="s">
        <v>104</v>
      </c>
      <c r="L210" s="185" t="s">
        <v>104</v>
      </c>
      <c r="M210" s="74">
        <f t="shared" ref="M210:R210" si="55">SUM(M209:M209)</f>
        <v>0</v>
      </c>
      <c r="N210" s="103">
        <f t="shared" si="55"/>
        <v>2187427.25</v>
      </c>
      <c r="O210" s="74">
        <f t="shared" si="55"/>
        <v>2187427.25</v>
      </c>
      <c r="P210" s="74">
        <f t="shared" si="55"/>
        <v>0</v>
      </c>
      <c r="Q210" s="74"/>
      <c r="R210" s="74">
        <f t="shared" si="55"/>
        <v>0</v>
      </c>
      <c r="S210" s="185"/>
      <c r="T210" s="185">
        <f>N210</f>
        <v>2187427.25</v>
      </c>
      <c r="U210" s="46">
        <f t="shared" si="54"/>
        <v>2187427.25</v>
      </c>
    </row>
    <row r="211" spans="1:24" ht="13.95" hidden="1" customHeight="1">
      <c r="A211" s="355"/>
      <c r="B211" s="69" t="s">
        <v>284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85"/>
      <c r="L211" s="185"/>
      <c r="M211" s="74"/>
      <c r="N211" s="74">
        <f>P211</f>
        <v>0</v>
      </c>
      <c r="O211" s="74"/>
      <c r="P211" s="74"/>
      <c r="Q211" s="74"/>
      <c r="R211" s="74"/>
      <c r="S211" s="185"/>
      <c r="T211" s="185">
        <f>P211</f>
        <v>0</v>
      </c>
      <c r="U211" s="185">
        <f t="shared" si="54"/>
        <v>0</v>
      </c>
    </row>
    <row r="212" spans="1:24" ht="13.95" hidden="1" customHeight="1">
      <c r="A212" s="355"/>
      <c r="B212" s="89" t="s">
        <v>225</v>
      </c>
      <c r="C212" s="181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85"/>
      <c r="L212" s="185"/>
      <c r="M212" s="74"/>
      <c r="N212" s="74">
        <f>S212</f>
        <v>0</v>
      </c>
      <c r="O212" s="74"/>
      <c r="P212" s="74"/>
      <c r="Q212" s="74"/>
      <c r="R212" s="74"/>
      <c r="S212" s="185"/>
      <c r="T212" s="185">
        <f>S212</f>
        <v>0</v>
      </c>
      <c r="U212" s="185">
        <f t="shared" si="54"/>
        <v>0</v>
      </c>
    </row>
    <row r="213" spans="1:24" ht="13.95" hidden="1" customHeight="1">
      <c r="A213" s="355"/>
      <c r="B213" s="89" t="s">
        <v>225</v>
      </c>
      <c r="C213" s="181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85"/>
      <c r="L213" s="185"/>
      <c r="M213" s="74"/>
      <c r="N213" s="74">
        <f>Q213</f>
        <v>0</v>
      </c>
      <c r="O213" s="74"/>
      <c r="P213" s="74"/>
      <c r="Q213" s="74"/>
      <c r="R213" s="74"/>
      <c r="S213" s="185"/>
      <c r="T213" s="185"/>
      <c r="U213" s="185"/>
    </row>
    <row r="214" spans="1:24" ht="13.95" hidden="1" customHeight="1">
      <c r="A214" s="355"/>
      <c r="B214" s="89" t="s">
        <v>283</v>
      </c>
      <c r="C214" s="181" t="s">
        <v>219</v>
      </c>
      <c r="D214" s="64"/>
      <c r="E214" s="122"/>
      <c r="F214" s="122"/>
      <c r="G214" s="122"/>
      <c r="H214" s="60"/>
      <c r="I214" s="60"/>
      <c r="J214" s="74"/>
      <c r="K214" s="185"/>
      <c r="L214" s="185"/>
      <c r="M214" s="74"/>
      <c r="N214" s="74">
        <f>S214</f>
        <v>0</v>
      </c>
      <c r="O214" s="74"/>
      <c r="P214" s="74"/>
      <c r="Q214" s="74"/>
      <c r="R214" s="74"/>
      <c r="S214" s="185"/>
      <c r="T214" s="185"/>
      <c r="U214" s="185"/>
    </row>
    <row r="215" spans="1:24">
      <c r="A215" s="355"/>
      <c r="B215" s="89" t="s">
        <v>290</v>
      </c>
      <c r="C215" s="181" t="s">
        <v>226</v>
      </c>
      <c r="D215" s="64"/>
      <c r="E215" s="122">
        <v>13</v>
      </c>
      <c r="F215" s="122">
        <v>13</v>
      </c>
      <c r="G215" s="122">
        <v>13</v>
      </c>
      <c r="H215" s="60">
        <v>13</v>
      </c>
      <c r="I215" s="60">
        <v>13</v>
      </c>
      <c r="J215" s="74"/>
      <c r="K215" s="185"/>
      <c r="L215" s="185"/>
      <c r="M215" s="74"/>
      <c r="N215" s="74">
        <f>O215</f>
        <v>1523340</v>
      </c>
      <c r="O215" s="74">
        <v>1523340</v>
      </c>
      <c r="P215" s="74"/>
      <c r="Q215" s="74"/>
      <c r="R215" s="74"/>
      <c r="S215" s="185"/>
      <c r="T215" s="185">
        <v>1523340</v>
      </c>
      <c r="U215" s="185">
        <f>T215</f>
        <v>1523340</v>
      </c>
    </row>
    <row r="216" spans="1:24" ht="13.95" hidden="1" customHeight="1">
      <c r="A216" s="355"/>
      <c r="B216" s="89" t="s">
        <v>257</v>
      </c>
      <c r="C216" s="181" t="s">
        <v>226</v>
      </c>
      <c r="D216" s="64"/>
      <c r="E216" s="122"/>
      <c r="F216" s="122"/>
      <c r="G216" s="122"/>
      <c r="H216" s="60"/>
      <c r="I216" s="60"/>
      <c r="J216" s="74"/>
      <c r="K216" s="185"/>
      <c r="L216" s="185"/>
      <c r="M216" s="74"/>
      <c r="N216" s="74">
        <f>O216</f>
        <v>0</v>
      </c>
      <c r="O216" s="74"/>
      <c r="P216" s="74"/>
      <c r="Q216" s="74"/>
      <c r="R216" s="74"/>
      <c r="S216" s="185"/>
      <c r="T216" s="185">
        <f>O216</f>
        <v>0</v>
      </c>
      <c r="U216" s="185">
        <f t="shared" si="54"/>
        <v>0</v>
      </c>
    </row>
    <row r="217" spans="1:24" ht="13.95" hidden="1" customHeight="1">
      <c r="A217" s="355"/>
      <c r="B217" s="89" t="s">
        <v>291</v>
      </c>
      <c r="C217" s="181" t="s">
        <v>226</v>
      </c>
      <c r="D217" s="64"/>
      <c r="E217" s="122"/>
      <c r="F217" s="122"/>
      <c r="G217" s="122"/>
      <c r="H217" s="60"/>
      <c r="I217" s="60"/>
      <c r="J217" s="74"/>
      <c r="K217" s="185"/>
      <c r="L217" s="185"/>
      <c r="M217" s="74"/>
      <c r="N217" s="74">
        <f>P217</f>
        <v>0</v>
      </c>
      <c r="O217" s="74"/>
      <c r="P217" s="74"/>
      <c r="Q217" s="74"/>
      <c r="R217" s="74"/>
      <c r="S217" s="185"/>
      <c r="T217" s="185"/>
      <c r="U217" s="185">
        <f>T217</f>
        <v>0</v>
      </c>
    </row>
    <row r="218" spans="1:24">
      <c r="A218" s="355"/>
      <c r="B218" s="319" t="s">
        <v>112</v>
      </c>
      <c r="C218" s="319"/>
      <c r="D218" s="320"/>
      <c r="E218" s="321">
        <v>218</v>
      </c>
      <c r="F218" s="321">
        <v>218</v>
      </c>
      <c r="G218" s="215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03"/>
      <c r="N218" s="103">
        <f>SUM(O218:S218)</f>
        <v>20938720.460000001</v>
      </c>
      <c r="O218" s="103">
        <f>O195+O203+O208+O210+O215+O216</f>
        <v>15142373.99</v>
      </c>
      <c r="P218" s="103">
        <f>P195+P203+P208+P210+P211+P212+P213+P217</f>
        <v>872433.81999999983</v>
      </c>
      <c r="Q218" s="103">
        <f>Q195+Q203+Q208+Q210+Q211+Q212+Q213</f>
        <v>0</v>
      </c>
      <c r="R218" s="103">
        <f>R195+R203+R208+R210+R211+R212+R213+R214</f>
        <v>4923912.6500000004</v>
      </c>
      <c r="S218" s="138">
        <f>S195+S203+S208+S210+S211+S212+S213+S214</f>
        <v>0</v>
      </c>
      <c r="T218" s="138">
        <f>T195+T203+T208+T210+T211+T212+T213+T214+T215+T216+T217</f>
        <v>20938720.460000001</v>
      </c>
      <c r="U218" s="138">
        <f>U195+U203+U208+U210+U211+U212+U213+U214+U215+U216+U217</f>
        <v>20938720.460000001</v>
      </c>
      <c r="V218" s="182">
        <v>4847177.32</v>
      </c>
      <c r="W218" s="192">
        <f>V218-R218</f>
        <v>-76735.330000000075</v>
      </c>
      <c r="X218" s="182">
        <f>W218/I218</f>
        <v>-351.99692660550494</v>
      </c>
    </row>
    <row r="219" spans="1:24" ht="27" customHeight="1">
      <c r="A219" s="336"/>
      <c r="B219" s="381" t="s">
        <v>231</v>
      </c>
      <c r="C219" s="382"/>
      <c r="D219" s="382"/>
      <c r="E219" s="382"/>
      <c r="F219" s="382"/>
      <c r="G219" s="382"/>
      <c r="H219" s="382"/>
      <c r="I219" s="382"/>
      <c r="J219" s="382"/>
      <c r="K219" s="382"/>
      <c r="L219" s="382"/>
      <c r="M219" s="383"/>
      <c r="N219" s="335">
        <f>N218+N186+N148+N113+N80+N46-0.01</f>
        <v>227535171.62</v>
      </c>
      <c r="O219" s="335">
        <f>O218+O186+O148+O113+O80+O46</f>
        <v>164540514.27000001</v>
      </c>
      <c r="P219" s="335">
        <f>P218+P186+P148+P113+P80+P46</f>
        <v>13246586.899999999</v>
      </c>
      <c r="Q219" s="335">
        <f>Q218+Q186+Q148+Q113+Q80+Q46</f>
        <v>0</v>
      </c>
      <c r="R219" s="335">
        <f>R218+R186+R148+R113+R80+R46</f>
        <v>49748070.450000003</v>
      </c>
      <c r="S219" s="211">
        <f>S218+S186+S148+S113+S80+S46</f>
        <v>0</v>
      </c>
      <c r="T219" s="211">
        <f>T218+T186+T148+T113+T80+T46-0.01</f>
        <v>227535171.62000006</v>
      </c>
      <c r="U219" s="211">
        <f>U218+U186+U148+U113+U80+U46-0.01</f>
        <v>227535171.62000006</v>
      </c>
      <c r="X219" s="70"/>
    </row>
    <row r="220" spans="1:24">
      <c r="A220" s="182" t="s">
        <v>233</v>
      </c>
      <c r="T220" s="282"/>
      <c r="U220" s="282"/>
    </row>
    <row r="221" spans="1:24">
      <c r="A221" s="182" t="s">
        <v>178</v>
      </c>
      <c r="O221" s="192"/>
      <c r="T221" s="187"/>
    </row>
    <row r="222" spans="1:24">
      <c r="O222" s="192"/>
      <c r="T222" s="187"/>
      <c r="U222" s="187"/>
    </row>
    <row r="223" spans="1:24">
      <c r="O223" s="192"/>
      <c r="R223" s="192"/>
      <c r="S223" s="187"/>
      <c r="V223" s="192"/>
    </row>
    <row r="224" spans="1:24">
      <c r="O224" s="192"/>
      <c r="P224" s="192"/>
      <c r="R224" s="192"/>
    </row>
    <row r="225" spans="9:20">
      <c r="O225" s="192"/>
      <c r="P225" s="192"/>
      <c r="R225" s="192"/>
      <c r="T225" s="187"/>
    </row>
    <row r="226" spans="9:20">
      <c r="O226" s="192"/>
      <c r="P226" s="192"/>
    </row>
    <row r="227" spans="9:20">
      <c r="O227" s="192"/>
      <c r="P227" s="192"/>
    </row>
    <row r="228" spans="9:20">
      <c r="O228" s="192"/>
      <c r="P228" s="192"/>
    </row>
    <row r="229" spans="9:20">
      <c r="O229" s="192"/>
      <c r="P229" s="192"/>
    </row>
    <row r="230" spans="9:20">
      <c r="O230" s="192"/>
      <c r="P230" s="192"/>
    </row>
    <row r="231" spans="9:20">
      <c r="I231" s="283"/>
      <c r="O231" s="192"/>
      <c r="P231" s="192"/>
    </row>
    <row r="232" spans="9:20">
      <c r="O232" s="192"/>
      <c r="P232" s="192"/>
    </row>
    <row r="233" spans="9:20">
      <c r="O233" s="192"/>
      <c r="P233" s="192"/>
    </row>
    <row r="234" spans="9:20">
      <c r="O234" s="192"/>
      <c r="P234" s="192"/>
    </row>
    <row r="235" spans="9:20">
      <c r="O235" s="192"/>
      <c r="P235" s="192"/>
    </row>
    <row r="236" spans="9:20">
      <c r="O236" s="192"/>
      <c r="P236" s="192"/>
    </row>
    <row r="237" spans="9:20">
      <c r="O237" s="192"/>
      <c r="P237" s="192"/>
    </row>
    <row r="238" spans="9:20">
      <c r="R238" s="192"/>
    </row>
    <row r="239" spans="9:20">
      <c r="R239" s="192"/>
    </row>
    <row r="240" spans="9:20">
      <c r="O240" s="192"/>
      <c r="R240" s="192"/>
    </row>
    <row r="261" spans="1:17">
      <c r="O261" s="192"/>
      <c r="P261" s="192"/>
      <c r="Q261" s="192"/>
    </row>
    <row r="262" spans="1:17">
      <c r="O262" s="192"/>
      <c r="P262" s="192"/>
      <c r="Q262" s="192"/>
    </row>
    <row r="263" spans="1:17">
      <c r="O263" s="192"/>
      <c r="P263" s="192"/>
      <c r="Q263" s="192"/>
    </row>
    <row r="266" spans="1:17">
      <c r="O266" s="192"/>
    </row>
    <row r="268" spans="1:17">
      <c r="H268" s="182">
        <v>2</v>
      </c>
    </row>
    <row r="269" spans="1:17" ht="13.95" hidden="1" customHeight="1">
      <c r="D269" s="180">
        <v>286</v>
      </c>
      <c r="E269" s="202"/>
      <c r="F269" s="202"/>
      <c r="G269" s="202">
        <v>3</v>
      </c>
      <c r="H269" s="180">
        <v>244</v>
      </c>
      <c r="I269" s="180">
        <v>46</v>
      </c>
      <c r="J269" s="180">
        <v>69</v>
      </c>
      <c r="K269" s="202">
        <f>D269+G269+H269+I269+J269</f>
        <v>648</v>
      </c>
      <c r="L269" s="189" t="s">
        <v>296</v>
      </c>
      <c r="M269" s="182" t="s">
        <v>297</v>
      </c>
      <c r="N269" s="182" t="s">
        <v>298</v>
      </c>
    </row>
    <row r="270" spans="1:17" ht="27.6" hidden="1" customHeight="1">
      <c r="A270" s="182" t="s">
        <v>295</v>
      </c>
      <c r="B270" s="193" t="s">
        <v>284</v>
      </c>
      <c r="C270" s="198">
        <v>118131</v>
      </c>
      <c r="D270" s="199"/>
      <c r="E270" s="203"/>
      <c r="F270" s="203"/>
      <c r="G270" s="203"/>
      <c r="H270" s="197"/>
      <c r="I270" s="197"/>
      <c r="J270" s="197"/>
      <c r="K270" s="203"/>
      <c r="L270" s="187">
        <f>(C270+C276)</f>
        <v>522719</v>
      </c>
      <c r="M270" s="192">
        <f>(C274+C275)</f>
        <v>1356154</v>
      </c>
      <c r="N270" s="192">
        <f>(C271+C273)</f>
        <v>3584396</v>
      </c>
      <c r="O270" s="192">
        <f>L270+M270+N270</f>
        <v>5463269</v>
      </c>
    </row>
    <row r="271" spans="1:17" ht="13.95" hidden="1" customHeight="1">
      <c r="B271" s="89" t="s">
        <v>225</v>
      </c>
      <c r="C271" s="198">
        <v>3308494</v>
      </c>
      <c r="D271" s="199"/>
      <c r="E271" s="203"/>
      <c r="F271" s="203"/>
      <c r="G271" s="203"/>
      <c r="H271" s="197"/>
      <c r="I271" s="197"/>
      <c r="J271" s="197"/>
      <c r="K271" s="203"/>
      <c r="L271" s="187">
        <f>L270/K269</f>
        <v>806.66512345679007</v>
      </c>
      <c r="M271" s="192">
        <f>M270/K269</f>
        <v>2092.8302469135801</v>
      </c>
      <c r="N271" s="192">
        <f>N270/K269</f>
        <v>5531.4753086419751</v>
      </c>
    </row>
    <row r="272" spans="1:17" ht="13.95" hidden="1" customHeight="1">
      <c r="B272" s="89" t="s">
        <v>225</v>
      </c>
      <c r="C272" s="198"/>
      <c r="D272" s="199"/>
      <c r="E272" s="203"/>
      <c r="F272" s="203"/>
      <c r="G272" s="203"/>
      <c r="H272" s="197"/>
      <c r="I272" s="197"/>
      <c r="J272" s="197"/>
      <c r="K272" s="203"/>
      <c r="L272" s="187"/>
    </row>
    <row r="273" spans="1:15" ht="13.95" hidden="1" customHeight="1">
      <c r="B273" s="89" t="s">
        <v>283</v>
      </c>
      <c r="C273" s="198">
        <v>275902</v>
      </c>
      <c r="D273" s="199"/>
      <c r="E273" s="203"/>
      <c r="F273" s="203"/>
      <c r="G273" s="203"/>
      <c r="H273" s="197"/>
      <c r="I273" s="197"/>
      <c r="J273" s="197"/>
      <c r="K273" s="203"/>
      <c r="L273" s="187">
        <f>C270+691346</f>
        <v>809477</v>
      </c>
      <c r="M273" s="192">
        <f>C275+3249792</f>
        <v>3522682</v>
      </c>
      <c r="N273" s="192">
        <f>C271</f>
        <v>3308494</v>
      </c>
    </row>
    <row r="274" spans="1:15" ht="13.95" hidden="1" customHeight="1">
      <c r="B274" s="89" t="s">
        <v>290</v>
      </c>
      <c r="C274" s="198">
        <v>1083264</v>
      </c>
      <c r="D274" s="197"/>
      <c r="E274" s="203"/>
      <c r="F274" s="203"/>
      <c r="G274" s="203"/>
      <c r="H274" s="197"/>
      <c r="I274" s="197"/>
      <c r="J274" s="197"/>
      <c r="K274" s="203"/>
      <c r="L274" s="187">
        <f>L273-L270</f>
        <v>286758</v>
      </c>
      <c r="M274" s="192">
        <f>M273-M270</f>
        <v>2166528</v>
      </c>
      <c r="N274" s="192">
        <f>N273-N270</f>
        <v>-275902</v>
      </c>
    </row>
    <row r="275" spans="1:15" ht="13.95" hidden="1" customHeight="1">
      <c r="B275" s="89" t="s">
        <v>257</v>
      </c>
      <c r="C275" s="198">
        <v>272890</v>
      </c>
      <c r="D275" s="197"/>
      <c r="E275" s="203"/>
      <c r="F275" s="203"/>
      <c r="G275" s="203"/>
      <c r="H275" s="197"/>
      <c r="I275" s="197"/>
      <c r="J275" s="197"/>
      <c r="K275" s="203"/>
      <c r="L275" s="187">
        <f>L274/K269</f>
        <v>442.52777777777777</v>
      </c>
      <c r="M275" s="192">
        <f>M274/K269</f>
        <v>3343.4074074074074</v>
      </c>
      <c r="N275" s="192">
        <f>N274/K269</f>
        <v>-425.77469135802471</v>
      </c>
    </row>
    <row r="276" spans="1:15" ht="13.95" hidden="1" customHeight="1">
      <c r="B276" s="89" t="s">
        <v>291</v>
      </c>
      <c r="C276" s="198">
        <v>404588</v>
      </c>
      <c r="D276" s="197"/>
      <c r="E276" s="203"/>
      <c r="F276" s="203"/>
      <c r="G276" s="203"/>
      <c r="H276" s="197"/>
      <c r="I276" s="197"/>
      <c r="J276" s="197"/>
      <c r="K276" s="203"/>
      <c r="L276" s="187">
        <f>D269*L275</f>
        <v>126562.94444444444</v>
      </c>
      <c r="M276" s="192">
        <f>D269*M275</f>
        <v>956214.51851851854</v>
      </c>
      <c r="N276" s="192">
        <f>D269*N275</f>
        <v>-121771.56172839507</v>
      </c>
      <c r="O276" s="192">
        <f t="shared" ref="O276:O281" si="56">L276+M276+N276</f>
        <v>961005.90123456786</v>
      </c>
    </row>
    <row r="277" spans="1:15" ht="13.95" hidden="1" customHeight="1">
      <c r="B277" s="101" t="s">
        <v>112</v>
      </c>
      <c r="C277" s="198">
        <f>SUM(C270:C276)</f>
        <v>5463269</v>
      </c>
      <c r="D277" s="197"/>
      <c r="E277" s="203"/>
      <c r="F277" s="203"/>
      <c r="G277" s="203"/>
      <c r="H277" s="197"/>
      <c r="I277" s="197"/>
      <c r="J277" s="197"/>
      <c r="K277" s="203"/>
      <c r="L277" s="187">
        <f>G269*L275</f>
        <v>1327.5833333333333</v>
      </c>
      <c r="M277" s="192">
        <f>G269*M275</f>
        <v>10030.222222222223</v>
      </c>
      <c r="N277" s="192">
        <f>G269*N275</f>
        <v>-1277.3240740740741</v>
      </c>
      <c r="O277" s="192">
        <f t="shared" si="56"/>
        <v>10080.481481481482</v>
      </c>
    </row>
    <row r="278" spans="1:15" ht="13.95" hidden="1" customHeight="1">
      <c r="L278" s="187">
        <f>242*L275</f>
        <v>107091.72222222222</v>
      </c>
      <c r="M278" s="192">
        <f>242*M275</f>
        <v>809104.59259259258</v>
      </c>
      <c r="N278" s="192">
        <f>242*N275</f>
        <v>-103037.47530864198</v>
      </c>
      <c r="O278" s="192">
        <f t="shared" si="56"/>
        <v>813158.83950617281</v>
      </c>
    </row>
    <row r="279" spans="1:15" ht="13.95" hidden="1" customHeight="1">
      <c r="D279" s="195"/>
      <c r="L279" s="187">
        <f>2*L275</f>
        <v>885.05555555555554</v>
      </c>
      <c r="M279" s="192">
        <f>2*M275</f>
        <v>6686.8148148148148</v>
      </c>
      <c r="N279" s="192">
        <f>2*N275</f>
        <v>-851.54938271604942</v>
      </c>
      <c r="O279" s="192">
        <f t="shared" si="56"/>
        <v>6720.3209876543206</v>
      </c>
    </row>
    <row r="280" spans="1:15" ht="13.95" hidden="1" customHeight="1">
      <c r="D280" s="196"/>
      <c r="L280" s="187">
        <f>I269*L275</f>
        <v>20356.277777777777</v>
      </c>
      <c r="M280" s="192">
        <f>I269*M275</f>
        <v>153796.74074074073</v>
      </c>
      <c r="N280" s="192">
        <f>I269*N275</f>
        <v>-19585.635802469136</v>
      </c>
      <c r="O280" s="192">
        <f t="shared" si="56"/>
        <v>154567.38271604938</v>
      </c>
    </row>
    <row r="281" spans="1:15" ht="13.95" hidden="1" customHeight="1">
      <c r="D281" s="196"/>
      <c r="L281" s="187">
        <f>J269*L275</f>
        <v>30534.416666666668</v>
      </c>
      <c r="M281" s="192">
        <f>J269*M275</f>
        <v>230695.11111111112</v>
      </c>
      <c r="N281" s="192">
        <f>J269*N275</f>
        <v>-29378.453703703704</v>
      </c>
      <c r="O281" s="192">
        <f t="shared" si="56"/>
        <v>231851.07407407407</v>
      </c>
    </row>
    <row r="282" spans="1:15" ht="13.95" hidden="1" customHeight="1">
      <c r="D282" s="196"/>
    </row>
    <row r="283" spans="1:15" ht="13.95" hidden="1" customHeight="1">
      <c r="D283" s="196"/>
    </row>
    <row r="284" spans="1:15" ht="13.95" hidden="1" customHeight="1">
      <c r="D284" s="196"/>
    </row>
    <row r="285" spans="1:15" ht="13.95" hidden="1" customHeight="1">
      <c r="D285" s="180">
        <v>261</v>
      </c>
      <c r="E285" s="202"/>
      <c r="F285" s="202"/>
      <c r="G285" s="202">
        <v>2</v>
      </c>
      <c r="H285" s="180">
        <v>219</v>
      </c>
      <c r="I285" s="180">
        <v>2</v>
      </c>
      <c r="J285" s="180">
        <v>44</v>
      </c>
      <c r="K285" s="202">
        <f>D285+G285+H285+I285+J285</f>
        <v>528</v>
      </c>
      <c r="L285" s="189" t="s">
        <v>296</v>
      </c>
      <c r="M285" s="182" t="s">
        <v>297</v>
      </c>
      <c r="N285" s="182" t="s">
        <v>298</v>
      </c>
    </row>
    <row r="286" spans="1:15" ht="27.6" hidden="1" customHeight="1">
      <c r="A286" s="182" t="s">
        <v>299</v>
      </c>
      <c r="B286" s="193" t="s">
        <v>284</v>
      </c>
      <c r="C286" s="198">
        <v>96255</v>
      </c>
      <c r="D286" s="199"/>
      <c r="E286" s="203"/>
      <c r="F286" s="203"/>
      <c r="G286" s="203"/>
      <c r="H286" s="197"/>
      <c r="I286" s="197"/>
      <c r="J286" s="197"/>
      <c r="K286" s="203"/>
      <c r="L286" s="187">
        <f>C286+C288+C292</f>
        <v>1031146</v>
      </c>
      <c r="M286" s="192">
        <f>C290+C291</f>
        <v>1027677</v>
      </c>
      <c r="N286" s="192">
        <f>C287+C289</f>
        <v>4122597</v>
      </c>
      <c r="O286" s="192">
        <f>L286+M286+N286</f>
        <v>6181420</v>
      </c>
    </row>
    <row r="287" spans="1:15" ht="13.95" hidden="1" customHeight="1">
      <c r="B287" s="89" t="s">
        <v>225</v>
      </c>
      <c r="C287" s="198">
        <v>3813252</v>
      </c>
      <c r="D287" s="199"/>
      <c r="E287" s="203"/>
      <c r="F287" s="203"/>
      <c r="G287" s="203"/>
      <c r="H287" s="197"/>
      <c r="I287" s="197"/>
      <c r="J287" s="197"/>
      <c r="K287" s="203"/>
      <c r="L287" s="187">
        <f>L286/K285</f>
        <v>1952.9280303030303</v>
      </c>
      <c r="M287" s="192">
        <f>M286/K285</f>
        <v>1946.3579545454545</v>
      </c>
      <c r="N287" s="192">
        <f>N286/K285</f>
        <v>7807.948863636364</v>
      </c>
    </row>
    <row r="288" spans="1:15" ht="13.95" hidden="1" customHeight="1">
      <c r="B288" s="89" t="s">
        <v>225</v>
      </c>
      <c r="C288" s="198">
        <v>606031</v>
      </c>
      <c r="D288" s="199"/>
      <c r="E288" s="203"/>
      <c r="F288" s="203"/>
      <c r="G288" s="203"/>
      <c r="H288" s="197"/>
      <c r="I288" s="197"/>
      <c r="J288" s="197"/>
      <c r="K288" s="203"/>
    </row>
    <row r="289" spans="1:15" ht="13.95" hidden="1" customHeight="1">
      <c r="B289" s="89" t="s">
        <v>283</v>
      </c>
      <c r="C289" s="198">
        <v>309345</v>
      </c>
      <c r="D289" s="199"/>
      <c r="E289" s="203"/>
      <c r="F289" s="203"/>
      <c r="G289" s="203"/>
      <c r="H289" s="197"/>
      <c r="I289" s="197"/>
      <c r="J289" s="197"/>
      <c r="K289" s="203"/>
      <c r="L289" s="187">
        <f>C286+C288+563319</f>
        <v>1265605</v>
      </c>
      <c r="M289" s="192">
        <f>C291+2624832</f>
        <v>2777565</v>
      </c>
      <c r="N289" s="192">
        <f>C287</f>
        <v>3813252</v>
      </c>
    </row>
    <row r="290" spans="1:15" ht="13.95" hidden="1" customHeight="1">
      <c r="B290" s="89" t="s">
        <v>290</v>
      </c>
      <c r="C290" s="198">
        <v>874944</v>
      </c>
      <c r="D290" s="197"/>
      <c r="E290" s="203"/>
      <c r="F290" s="203"/>
      <c r="G290" s="203"/>
      <c r="H290" s="197"/>
      <c r="I290" s="197"/>
      <c r="J290" s="197"/>
      <c r="K290" s="203"/>
      <c r="L290" s="187">
        <f>L289-L286</f>
        <v>234459</v>
      </c>
      <c r="M290" s="192">
        <f>M289-M286</f>
        <v>1749888</v>
      </c>
      <c r="N290" s="192">
        <f>N289-N286</f>
        <v>-309345</v>
      </c>
    </row>
    <row r="291" spans="1:15" ht="13.95" hidden="1" customHeight="1">
      <c r="B291" s="89" t="s">
        <v>257</v>
      </c>
      <c r="C291" s="198">
        <v>152733</v>
      </c>
      <c r="D291" s="197"/>
      <c r="E291" s="203"/>
      <c r="F291" s="203"/>
      <c r="G291" s="203"/>
      <c r="H291" s="197"/>
      <c r="I291" s="197"/>
      <c r="J291" s="197"/>
      <c r="K291" s="203"/>
      <c r="L291" s="282">
        <f>L290/K285</f>
        <v>444.05113636363637</v>
      </c>
      <c r="M291" s="205">
        <f>M290/K285</f>
        <v>3314.181818181818</v>
      </c>
      <c r="N291" s="205">
        <f>N290/K285</f>
        <v>-585.88068181818187</v>
      </c>
    </row>
    <row r="292" spans="1:15" ht="13.95" hidden="1" customHeight="1">
      <c r="B292" s="89" t="s">
        <v>291</v>
      </c>
      <c r="C292" s="198">
        <v>328860</v>
      </c>
      <c r="D292" s="197"/>
      <c r="E292" s="203"/>
      <c r="F292" s="203"/>
      <c r="G292" s="203"/>
      <c r="H292" s="197"/>
      <c r="I292" s="197"/>
      <c r="J292" s="197"/>
      <c r="K292" s="203"/>
      <c r="L292" s="187">
        <f>D285*L291</f>
        <v>115897.34659090909</v>
      </c>
      <c r="M292" s="192">
        <f>M291*D285</f>
        <v>865001.45454545447</v>
      </c>
      <c r="N292" s="192">
        <f>D285*N291</f>
        <v>-152914.85795454547</v>
      </c>
      <c r="O292" s="192">
        <f>L292+M292+N292</f>
        <v>827983.94318181812</v>
      </c>
    </row>
    <row r="293" spans="1:15" ht="13.95" hidden="1" customHeight="1">
      <c r="B293" s="101" t="s">
        <v>112</v>
      </c>
      <c r="C293" s="198">
        <f>SUM(C286:C292)</f>
        <v>6181420</v>
      </c>
      <c r="D293" s="197"/>
      <c r="E293" s="203"/>
      <c r="F293" s="203"/>
      <c r="G293" s="203"/>
      <c r="H293" s="197"/>
      <c r="I293" s="197"/>
      <c r="J293" s="197"/>
      <c r="K293" s="203"/>
      <c r="L293" s="187">
        <f>G285*L291</f>
        <v>888.10227272727275</v>
      </c>
      <c r="M293" s="192">
        <f>G285*M291</f>
        <v>6628.363636363636</v>
      </c>
      <c r="N293" s="192">
        <f>G285*N291</f>
        <v>-1171.7613636363637</v>
      </c>
      <c r="O293" s="192">
        <f>L293+M293+N293</f>
        <v>6344.704545454545</v>
      </c>
    </row>
    <row r="294" spans="1:15" ht="13.95" hidden="1" customHeight="1">
      <c r="L294" s="187">
        <f>H285*L291</f>
        <v>97247.198863636368</v>
      </c>
      <c r="M294" s="192">
        <f>H285*M291</f>
        <v>725805.81818181812</v>
      </c>
      <c r="N294" s="192">
        <f>H285*N291</f>
        <v>-128307.86931818182</v>
      </c>
      <c r="O294" s="192">
        <f>L294+M294+N294</f>
        <v>694745.14772727271</v>
      </c>
    </row>
    <row r="295" spans="1:15" ht="13.95" hidden="1" customHeight="1">
      <c r="L295" s="187">
        <f>I285*L291</f>
        <v>888.10227272727275</v>
      </c>
      <c r="M295" s="192">
        <f>I285*M291</f>
        <v>6628.363636363636</v>
      </c>
      <c r="N295" s="192">
        <f>I285*N291</f>
        <v>-1171.7613636363637</v>
      </c>
      <c r="O295" s="192">
        <f>L295+M295+N295</f>
        <v>6344.704545454545</v>
      </c>
    </row>
    <row r="296" spans="1:15" ht="13.95" hidden="1" customHeight="1">
      <c r="L296" s="187">
        <f>J285*L291</f>
        <v>19538.25</v>
      </c>
      <c r="M296" s="192">
        <f>J285*M291</f>
        <v>145824</v>
      </c>
      <c r="N296" s="192">
        <f>J285*N291</f>
        <v>-25778.750000000004</v>
      </c>
      <c r="O296" s="192">
        <f>L296+M296+N296</f>
        <v>139583.5</v>
      </c>
    </row>
    <row r="297" spans="1:15" ht="13.95" hidden="1" customHeight="1"/>
    <row r="298" spans="1:15" ht="13.95" hidden="1" customHeight="1">
      <c r="D298" s="180">
        <v>242</v>
      </c>
      <c r="E298" s="202"/>
      <c r="F298" s="202"/>
      <c r="G298" s="202">
        <v>1</v>
      </c>
      <c r="H298" s="180">
        <v>224</v>
      </c>
      <c r="I298" s="180">
        <v>3</v>
      </c>
      <c r="J298" s="180">
        <v>69</v>
      </c>
      <c r="K298" s="202">
        <f>D298+G298+H298+I298+J298</f>
        <v>539</v>
      </c>
      <c r="L298" s="189" t="s">
        <v>296</v>
      </c>
      <c r="M298" s="182" t="s">
        <v>297</v>
      </c>
      <c r="N298" s="182" t="s">
        <v>298</v>
      </c>
    </row>
    <row r="299" spans="1:15" ht="27.6" hidden="1" customHeight="1">
      <c r="A299" s="182" t="s">
        <v>300</v>
      </c>
      <c r="B299" s="193" t="s">
        <v>284</v>
      </c>
      <c r="C299" s="198">
        <v>98261</v>
      </c>
      <c r="D299" s="199"/>
      <c r="E299" s="203"/>
      <c r="F299" s="203"/>
      <c r="G299" s="203"/>
      <c r="H299" s="197"/>
      <c r="I299" s="197"/>
      <c r="J299" s="197"/>
      <c r="K299" s="203"/>
      <c r="L299" s="187">
        <f>C299+C301+C305</f>
        <v>598302</v>
      </c>
      <c r="M299" s="192">
        <f>C303</f>
        <v>874944</v>
      </c>
      <c r="N299" s="192">
        <f>C300+C302</f>
        <v>1479238</v>
      </c>
      <c r="O299" s="192">
        <f>L299+M299+N299</f>
        <v>2952484</v>
      </c>
    </row>
    <row r="300" spans="1:15" ht="13.95" hidden="1" customHeight="1">
      <c r="B300" s="89" t="s">
        <v>225</v>
      </c>
      <c r="C300" s="198">
        <v>1362189</v>
      </c>
      <c r="D300" s="199"/>
      <c r="E300" s="203"/>
      <c r="F300" s="203"/>
      <c r="G300" s="203"/>
      <c r="H300" s="197"/>
      <c r="I300" s="197"/>
      <c r="J300" s="197"/>
      <c r="K300" s="203"/>
      <c r="L300" s="187">
        <f>L299/K298</f>
        <v>1110.0222634508348</v>
      </c>
      <c r="M300" s="192">
        <f>M299/K298</f>
        <v>1623.2727272727273</v>
      </c>
      <c r="N300" s="192">
        <f>N299/K298</f>
        <v>2744.4118738404454</v>
      </c>
    </row>
    <row r="301" spans="1:15" ht="13.95" hidden="1" customHeight="1">
      <c r="B301" s="89" t="s">
        <v>225</v>
      </c>
      <c r="C301" s="198">
        <v>164828</v>
      </c>
      <c r="D301" s="199"/>
      <c r="E301" s="203"/>
      <c r="F301" s="203"/>
      <c r="G301" s="203"/>
      <c r="H301" s="197"/>
      <c r="I301" s="197"/>
      <c r="J301" s="197"/>
      <c r="K301" s="203"/>
    </row>
    <row r="302" spans="1:15" ht="13.95" hidden="1" customHeight="1">
      <c r="B302" s="89" t="s">
        <v>283</v>
      </c>
      <c r="C302" s="198">
        <v>117049</v>
      </c>
      <c r="D302" s="199"/>
      <c r="E302" s="203"/>
      <c r="F302" s="203"/>
      <c r="G302" s="203"/>
      <c r="H302" s="197"/>
      <c r="I302" s="197"/>
      <c r="J302" s="197"/>
      <c r="K302" s="203"/>
      <c r="L302" s="187">
        <f>C299+C301+575056</f>
        <v>838145</v>
      </c>
      <c r="M302" s="192">
        <f>2624832</f>
        <v>2624832</v>
      </c>
      <c r="N302" s="192">
        <f>C300</f>
        <v>1362189</v>
      </c>
    </row>
    <row r="303" spans="1:15" ht="13.95" hidden="1" customHeight="1">
      <c r="B303" s="89" t="s">
        <v>290</v>
      </c>
      <c r="C303" s="198">
        <v>874944</v>
      </c>
      <c r="D303" s="197"/>
      <c r="E303" s="203"/>
      <c r="F303" s="203"/>
      <c r="G303" s="203"/>
      <c r="H303" s="197"/>
      <c r="I303" s="197"/>
      <c r="J303" s="197"/>
      <c r="K303" s="203"/>
      <c r="L303" s="187">
        <f>L302-L299</f>
        <v>239843</v>
      </c>
      <c r="M303" s="192">
        <f>M302-M299</f>
        <v>1749888</v>
      </c>
      <c r="N303" s="192">
        <f>N302-N299</f>
        <v>-117049</v>
      </c>
    </row>
    <row r="304" spans="1:15" ht="13.95" hidden="1" customHeight="1">
      <c r="B304" s="89" t="s">
        <v>257</v>
      </c>
      <c r="C304" s="198">
        <v>0</v>
      </c>
      <c r="D304" s="197"/>
      <c r="E304" s="203"/>
      <c r="F304" s="203"/>
      <c r="G304" s="203"/>
      <c r="H304" s="197"/>
      <c r="I304" s="197"/>
      <c r="J304" s="197"/>
      <c r="K304" s="203"/>
      <c r="L304" s="187">
        <f>L303/K298</f>
        <v>444.97773654916512</v>
      </c>
      <c r="M304" s="192">
        <f>M303/K298</f>
        <v>3246.5454545454545</v>
      </c>
      <c r="N304" s="192">
        <f>N303/K298</f>
        <v>-217.1595547309833</v>
      </c>
    </row>
    <row r="305" spans="1:15" ht="13.95" hidden="1" customHeight="1">
      <c r="B305" s="89" t="s">
        <v>291</v>
      </c>
      <c r="C305" s="198">
        <v>335213</v>
      </c>
      <c r="D305" s="197"/>
      <c r="E305" s="203"/>
      <c r="F305" s="203"/>
      <c r="G305" s="203"/>
      <c r="H305" s="197"/>
      <c r="I305" s="197"/>
      <c r="J305" s="197"/>
      <c r="K305" s="203"/>
      <c r="L305" s="187">
        <f>D298*L304</f>
        <v>107684.61224489796</v>
      </c>
      <c r="M305" s="192">
        <f>D298*M304</f>
        <v>785664</v>
      </c>
      <c r="N305" s="192">
        <f>D298*N304</f>
        <v>-52552.612244897959</v>
      </c>
      <c r="O305" s="192">
        <f>L305+M305+N305</f>
        <v>840796</v>
      </c>
    </row>
    <row r="306" spans="1:15" ht="13.95" hidden="1" customHeight="1">
      <c r="B306" s="101" t="s">
        <v>112</v>
      </c>
      <c r="C306" s="198">
        <f>SUM(C299:C305)</f>
        <v>2952484</v>
      </c>
      <c r="D306" s="197"/>
      <c r="E306" s="203"/>
      <c r="F306" s="203"/>
      <c r="G306" s="203"/>
      <c r="H306" s="197"/>
      <c r="I306" s="197"/>
      <c r="J306" s="197"/>
      <c r="K306" s="203"/>
      <c r="L306" s="187">
        <f>G298*L304</f>
        <v>444.97773654916512</v>
      </c>
      <c r="M306" s="192">
        <f>G298*M304</f>
        <v>3246.5454545454545</v>
      </c>
      <c r="N306" s="192">
        <f>G298*N304</f>
        <v>-217.1595547309833</v>
      </c>
      <c r="O306" s="192">
        <f>L306+M306+N306</f>
        <v>3474.363636363636</v>
      </c>
    </row>
    <row r="307" spans="1:15" ht="13.95" hidden="1" customHeight="1">
      <c r="L307" s="187">
        <f>H298*L304</f>
        <v>99675.012987012989</v>
      </c>
      <c r="M307" s="192">
        <f>H298*M304</f>
        <v>727226.18181818177</v>
      </c>
      <c r="N307" s="192">
        <f>H298*N304</f>
        <v>-48643.740259740262</v>
      </c>
      <c r="O307" s="192">
        <f>L307+M307+N307</f>
        <v>778257.45454545447</v>
      </c>
    </row>
    <row r="308" spans="1:15" ht="13.95" hidden="1" customHeight="1">
      <c r="L308" s="187">
        <f>I298*L304</f>
        <v>1334.9332096474955</v>
      </c>
      <c r="M308" s="192">
        <f>I298*M304</f>
        <v>9739.636363636364</v>
      </c>
      <c r="N308" s="192">
        <f>I298*N304</f>
        <v>-651.47866419294996</v>
      </c>
      <c r="O308" s="192">
        <f>L308+M308+N308</f>
        <v>10423.09090909091</v>
      </c>
    </row>
    <row r="309" spans="1:15" ht="13.95" hidden="1" customHeight="1">
      <c r="L309" s="187">
        <f>J298*L304</f>
        <v>30703.463821892394</v>
      </c>
      <c r="M309" s="192">
        <f>J298*M304</f>
        <v>224011.63636363635</v>
      </c>
      <c r="N309" s="192">
        <f>J298*N304</f>
        <v>-14984.009276437848</v>
      </c>
      <c r="O309" s="192">
        <f>L309+M309+N309</f>
        <v>239731.09090909091</v>
      </c>
    </row>
    <row r="310" spans="1:15" ht="13.95" hidden="1" customHeight="1"/>
    <row r="311" spans="1:15" ht="13.95" hidden="1" customHeight="1">
      <c r="D311" s="180">
        <v>206</v>
      </c>
      <c r="E311" s="202"/>
      <c r="F311" s="202"/>
      <c r="G311" s="202">
        <v>5</v>
      </c>
      <c r="H311" s="180">
        <v>238</v>
      </c>
      <c r="I311" s="180">
        <v>1</v>
      </c>
      <c r="J311" s="180">
        <v>33</v>
      </c>
      <c r="K311" s="202">
        <f>D311+G311+H311+I311+J311</f>
        <v>483</v>
      </c>
      <c r="L311" s="189" t="s">
        <v>296</v>
      </c>
      <c r="M311" s="182" t="s">
        <v>297</v>
      </c>
      <c r="N311" s="182" t="s">
        <v>298</v>
      </c>
    </row>
    <row r="312" spans="1:15" ht="27.6" hidden="1" customHeight="1">
      <c r="A312" s="182" t="s">
        <v>301</v>
      </c>
      <c r="B312" s="193" t="s">
        <v>284</v>
      </c>
      <c r="C312" s="198">
        <v>88052</v>
      </c>
      <c r="D312" s="199"/>
      <c r="E312" s="203"/>
      <c r="F312" s="203"/>
      <c r="G312" s="203"/>
      <c r="H312" s="197"/>
      <c r="I312" s="197"/>
      <c r="J312" s="197"/>
      <c r="K312" s="203"/>
      <c r="L312" s="187">
        <f>C312+C318</f>
        <v>388924</v>
      </c>
      <c r="M312" s="192">
        <f>C316+C317</f>
        <v>1185246</v>
      </c>
      <c r="N312" s="192">
        <f>C313+C315</f>
        <v>2227002</v>
      </c>
      <c r="O312" s="192">
        <f>L312+M312+N312</f>
        <v>3801172</v>
      </c>
    </row>
    <row r="313" spans="1:15" ht="13.95" hidden="1" customHeight="1">
      <c r="B313" s="89" t="s">
        <v>225</v>
      </c>
      <c r="C313" s="198">
        <v>2026333</v>
      </c>
      <c r="D313" s="199"/>
      <c r="E313" s="203"/>
      <c r="F313" s="203"/>
      <c r="G313" s="203"/>
      <c r="H313" s="197"/>
      <c r="I313" s="197"/>
      <c r="J313" s="197"/>
      <c r="K313" s="203"/>
      <c r="L313" s="187">
        <f>L312/K311</f>
        <v>805.22567287784682</v>
      </c>
      <c r="M313" s="192">
        <f>M312/K311</f>
        <v>2453.9254658385094</v>
      </c>
      <c r="N313" s="192">
        <f>N312/K311</f>
        <v>4610.7701863354041</v>
      </c>
    </row>
    <row r="314" spans="1:15" ht="13.95" hidden="1" customHeight="1">
      <c r="B314" s="89" t="s">
        <v>225</v>
      </c>
      <c r="C314" s="198">
        <v>0</v>
      </c>
      <c r="D314" s="199"/>
      <c r="E314" s="203"/>
      <c r="F314" s="203"/>
      <c r="G314" s="203"/>
      <c r="H314" s="197"/>
      <c r="I314" s="197"/>
      <c r="J314" s="197"/>
      <c r="K314" s="203"/>
    </row>
    <row r="315" spans="1:15" ht="13.95" hidden="1" customHeight="1">
      <c r="B315" s="89" t="s">
        <v>283</v>
      </c>
      <c r="C315" s="198">
        <v>200669</v>
      </c>
      <c r="D315" s="199"/>
      <c r="E315" s="203"/>
      <c r="F315" s="203"/>
      <c r="G315" s="203"/>
      <c r="H315" s="197"/>
      <c r="I315" s="197"/>
      <c r="J315" s="197"/>
      <c r="K315" s="203"/>
      <c r="L315" s="187">
        <f>C312+515309</f>
        <v>603361</v>
      </c>
      <c r="M315" s="192">
        <f>C317+2499840</f>
        <v>2851806</v>
      </c>
      <c r="N315" s="192">
        <f>C313</f>
        <v>2026333</v>
      </c>
    </row>
    <row r="316" spans="1:15" ht="13.95" hidden="1" customHeight="1">
      <c r="B316" s="89" t="s">
        <v>290</v>
      </c>
      <c r="C316" s="198">
        <v>833280</v>
      </c>
      <c r="D316" s="197"/>
      <c r="E316" s="203"/>
      <c r="F316" s="203"/>
      <c r="G316" s="203"/>
      <c r="H316" s="197"/>
      <c r="I316" s="197"/>
      <c r="J316" s="197"/>
      <c r="K316" s="203"/>
      <c r="L316" s="187">
        <f>L315-L312</f>
        <v>214437</v>
      </c>
      <c r="M316" s="192">
        <f>M315-M312</f>
        <v>1666560</v>
      </c>
      <c r="N316" s="192">
        <f>N315-N312</f>
        <v>-200669</v>
      </c>
    </row>
    <row r="317" spans="1:15" ht="13.95" hidden="1" customHeight="1">
      <c r="B317" s="89" t="s">
        <v>257</v>
      </c>
      <c r="C317" s="198">
        <v>351966</v>
      </c>
      <c r="D317" s="197"/>
      <c r="E317" s="203"/>
      <c r="F317" s="203"/>
      <c r="G317" s="203"/>
      <c r="H317" s="197"/>
      <c r="I317" s="197"/>
      <c r="J317" s="197"/>
      <c r="K317" s="203"/>
      <c r="L317" s="187">
        <f>L316/K311</f>
        <v>443.96894409937886</v>
      </c>
      <c r="M317" s="192">
        <f>M316/K311</f>
        <v>3450.4347826086955</v>
      </c>
      <c r="N317" s="192">
        <f>N316/K311</f>
        <v>-415.463768115942</v>
      </c>
    </row>
    <row r="318" spans="1:15" ht="13.95" hidden="1" customHeight="1">
      <c r="B318" s="89" t="s">
        <v>291</v>
      </c>
      <c r="C318" s="198">
        <v>300872</v>
      </c>
      <c r="D318" s="197"/>
      <c r="E318" s="203"/>
      <c r="F318" s="203"/>
      <c r="G318" s="203"/>
      <c r="H318" s="197"/>
      <c r="I318" s="197"/>
      <c r="J318" s="197"/>
      <c r="K318" s="203"/>
      <c r="L318" s="187">
        <f>D311*L317</f>
        <v>91457.602484472038</v>
      </c>
      <c r="M318" s="192">
        <f>M317*D311</f>
        <v>710789.56521739124</v>
      </c>
      <c r="N318" s="192">
        <f>D311*N317</f>
        <v>-85585.536231884049</v>
      </c>
      <c r="O318" s="192">
        <f>L318+M318+N318</f>
        <v>716661.63146997918</v>
      </c>
    </row>
    <row r="319" spans="1:15" ht="13.95" hidden="1" customHeight="1">
      <c r="B319" s="101" t="s">
        <v>112</v>
      </c>
      <c r="C319" s="198">
        <f>SUM(C312:C318)</f>
        <v>3801172</v>
      </c>
      <c r="D319" s="197"/>
      <c r="E319" s="203"/>
      <c r="F319" s="203"/>
      <c r="G319" s="203"/>
      <c r="H319" s="197"/>
      <c r="I319" s="197"/>
      <c r="J319" s="197"/>
      <c r="K319" s="203"/>
      <c r="L319" s="187">
        <f>G311*L317</f>
        <v>2219.8447204968943</v>
      </c>
      <c r="M319" s="192">
        <f>G311*M317</f>
        <v>17252.173913043476</v>
      </c>
      <c r="N319" s="192">
        <f>G311*N317</f>
        <v>-2077.31884057971</v>
      </c>
      <c r="O319" s="192">
        <f>L319+M319+N319</f>
        <v>17394.699792960659</v>
      </c>
    </row>
    <row r="320" spans="1:15" ht="13.95" hidden="1" customHeight="1">
      <c r="L320" s="187">
        <f>H311*L317</f>
        <v>105664.60869565216</v>
      </c>
      <c r="M320" s="192">
        <f>H311*M317</f>
        <v>821203.47826086951</v>
      </c>
      <c r="N320" s="192">
        <f>H311*N317</f>
        <v>-98880.376811594193</v>
      </c>
      <c r="O320" s="192">
        <f>L320+M320+N320</f>
        <v>827987.71014492749</v>
      </c>
    </row>
    <row r="321" spans="1:17" ht="13.95" hidden="1" customHeight="1">
      <c r="L321" s="187">
        <f>I311*L317</f>
        <v>443.96894409937886</v>
      </c>
      <c r="M321" s="192">
        <f>I311*M317</f>
        <v>3450.4347826086955</v>
      </c>
      <c r="N321" s="192">
        <f>I311*N317</f>
        <v>-415.463768115942</v>
      </c>
      <c r="O321" s="192">
        <f>L321+M321+N321</f>
        <v>3478.9399585921324</v>
      </c>
    </row>
    <row r="322" spans="1:17" ht="13.95" hidden="1" customHeight="1">
      <c r="L322" s="187">
        <f>J311*L317</f>
        <v>14650.975155279502</v>
      </c>
      <c r="M322" s="192">
        <f>J311*M317</f>
        <v>113864.34782608695</v>
      </c>
      <c r="N322" s="192">
        <f>J311*N317</f>
        <v>-13710.304347826086</v>
      </c>
      <c r="O322" s="192">
        <f>L322+M322+N322</f>
        <v>114805.01863354037</v>
      </c>
    </row>
    <row r="323" spans="1:17" ht="13.95" hidden="1" customHeight="1">
      <c r="N323" s="182" t="s">
        <v>296</v>
      </c>
      <c r="O323" s="182" t="s">
        <v>297</v>
      </c>
      <c r="P323" s="182" t="s">
        <v>298</v>
      </c>
    </row>
    <row r="324" spans="1:17" ht="13.95" hidden="1" customHeight="1">
      <c r="D324" s="180">
        <v>316</v>
      </c>
      <c r="E324" s="202"/>
      <c r="F324" s="202"/>
      <c r="G324" s="202">
        <v>2</v>
      </c>
      <c r="H324" s="180">
        <v>196</v>
      </c>
      <c r="I324" s="180">
        <v>206</v>
      </c>
      <c r="J324" s="180">
        <v>1</v>
      </c>
      <c r="K324" s="202">
        <v>51</v>
      </c>
      <c r="L324" s="202">
        <v>53</v>
      </c>
      <c r="M324" s="180">
        <f>D324+G324+H324+I324+J324+K324+L324</f>
        <v>825</v>
      </c>
    </row>
    <row r="325" spans="1:17" ht="27.6" hidden="1" customHeight="1">
      <c r="A325" s="182" t="s">
        <v>302</v>
      </c>
      <c r="B325" s="193" t="s">
        <v>284</v>
      </c>
      <c r="C325" s="185">
        <v>150399</v>
      </c>
      <c r="D325" s="199"/>
      <c r="E325" s="203"/>
      <c r="F325" s="203"/>
      <c r="G325" s="203"/>
      <c r="H325" s="197"/>
      <c r="I325" s="197"/>
      <c r="J325" s="197"/>
      <c r="K325" s="202"/>
      <c r="L325" s="202"/>
      <c r="M325" s="180"/>
      <c r="N325" s="192">
        <f>C325+C331</f>
        <v>662764</v>
      </c>
      <c r="O325" s="192">
        <f>C329+C330</f>
        <v>1800175</v>
      </c>
      <c r="P325" s="192">
        <f>C326+C328</f>
        <v>182500</v>
      </c>
      <c r="Q325" s="192">
        <f>N325+O325+P325</f>
        <v>2645439</v>
      </c>
    </row>
    <row r="326" spans="1:17" ht="13.95" hidden="1" customHeight="1">
      <c r="B326" s="89" t="s">
        <v>225</v>
      </c>
      <c r="C326" s="185">
        <v>179700</v>
      </c>
      <c r="D326" s="199"/>
      <c r="E326" s="203"/>
      <c r="F326" s="203"/>
      <c r="G326" s="203"/>
      <c r="H326" s="197"/>
      <c r="I326" s="197"/>
      <c r="J326" s="197"/>
      <c r="K326" s="202"/>
      <c r="L326" s="202"/>
      <c r="M326" s="180"/>
      <c r="N326" s="192">
        <f>N325/M324</f>
        <v>803.35030303030305</v>
      </c>
      <c r="O326" s="192">
        <f>O325/M324</f>
        <v>2182.030303030303</v>
      </c>
      <c r="P326" s="192">
        <f>P325/M324</f>
        <v>221.21212121212122</v>
      </c>
    </row>
    <row r="327" spans="1:17" ht="13.95" hidden="1" customHeight="1">
      <c r="B327" s="89" t="s">
        <v>225</v>
      </c>
      <c r="C327" s="185">
        <v>0</v>
      </c>
      <c r="D327" s="199"/>
      <c r="E327" s="203"/>
      <c r="F327" s="203"/>
      <c r="G327" s="203"/>
      <c r="H327" s="197"/>
      <c r="I327" s="197"/>
      <c r="J327" s="197"/>
      <c r="K327" s="202"/>
      <c r="L327" s="202"/>
      <c r="M327" s="180"/>
    </row>
    <row r="328" spans="1:17" ht="13.95" hidden="1" customHeight="1">
      <c r="B328" s="89" t="s">
        <v>283</v>
      </c>
      <c r="C328" s="185">
        <v>2800</v>
      </c>
      <c r="D328" s="199"/>
      <c r="E328" s="203"/>
      <c r="F328" s="203"/>
      <c r="G328" s="203"/>
      <c r="H328" s="197"/>
      <c r="I328" s="197"/>
      <c r="J328" s="197"/>
      <c r="K328" s="202"/>
      <c r="L328" s="202"/>
      <c r="M328" s="180"/>
      <c r="N328" s="192">
        <f>C325+880187</f>
        <v>1030586</v>
      </c>
      <c r="O328" s="192">
        <f>C330+3874752</f>
        <v>4383343</v>
      </c>
      <c r="P328" s="192">
        <f>C326</f>
        <v>179700</v>
      </c>
    </row>
    <row r="329" spans="1:17" ht="13.95" hidden="1" customHeight="1">
      <c r="B329" s="89" t="s">
        <v>290</v>
      </c>
      <c r="C329" s="185">
        <v>1291584</v>
      </c>
      <c r="D329" s="197"/>
      <c r="E329" s="203"/>
      <c r="F329" s="203"/>
      <c r="G329" s="203"/>
      <c r="H329" s="197"/>
      <c r="I329" s="197"/>
      <c r="J329" s="197"/>
      <c r="K329" s="202"/>
      <c r="L329" s="202"/>
      <c r="M329" s="180"/>
      <c r="N329" s="192">
        <f>N328-N325</f>
        <v>367822</v>
      </c>
      <c r="O329" s="192">
        <f>O328-O325</f>
        <v>2583168</v>
      </c>
      <c r="P329" s="192">
        <f>P328-P325</f>
        <v>-2800</v>
      </c>
    </row>
    <row r="330" spans="1:17" ht="13.95" hidden="1" customHeight="1">
      <c r="B330" s="89" t="s">
        <v>257</v>
      </c>
      <c r="C330" s="185">
        <v>508591</v>
      </c>
      <c r="D330" s="197"/>
      <c r="E330" s="203"/>
      <c r="F330" s="203"/>
      <c r="G330" s="203"/>
      <c r="H330" s="197"/>
      <c r="I330" s="197"/>
      <c r="J330" s="197"/>
      <c r="K330" s="202"/>
      <c r="L330" s="202"/>
      <c r="M330" s="180"/>
      <c r="N330" s="192">
        <f>N329/M324</f>
        <v>445.84484848484851</v>
      </c>
      <c r="O330" s="192">
        <f>O329/M324</f>
        <v>3131.1127272727272</v>
      </c>
      <c r="P330" s="192">
        <f>P329/M324</f>
        <v>-3.393939393939394</v>
      </c>
    </row>
    <row r="331" spans="1:17" ht="13.95" hidden="1" customHeight="1">
      <c r="B331" s="89" t="s">
        <v>291</v>
      </c>
      <c r="C331" s="185">
        <v>512365</v>
      </c>
      <c r="D331" s="197"/>
      <c r="E331" s="203"/>
      <c r="F331" s="203"/>
      <c r="G331" s="203"/>
      <c r="H331" s="197"/>
      <c r="I331" s="197"/>
      <c r="J331" s="197"/>
      <c r="K331" s="202"/>
      <c r="L331" s="202"/>
      <c r="M331" s="180"/>
      <c r="N331" s="192">
        <f>D324*N330</f>
        <v>140886.97212121214</v>
      </c>
      <c r="O331" s="192">
        <f>D324*O330</f>
        <v>989431.62181818183</v>
      </c>
      <c r="P331" s="192">
        <f>D324*P330</f>
        <v>-1072.4848484848485</v>
      </c>
      <c r="Q331" s="192">
        <f>N331+O331+P331</f>
        <v>1129246.1090909091</v>
      </c>
    </row>
    <row r="332" spans="1:17" ht="13.95" hidden="1" customHeight="1">
      <c r="B332" s="101" t="s">
        <v>112</v>
      </c>
      <c r="C332" s="198">
        <f>SUM(C325:C331)</f>
        <v>2645439</v>
      </c>
      <c r="D332" s="197"/>
      <c r="E332" s="203"/>
      <c r="F332" s="203"/>
      <c r="G332" s="203"/>
      <c r="H332" s="197"/>
      <c r="I332" s="197"/>
      <c r="J332" s="197"/>
      <c r="K332" s="202"/>
      <c r="L332" s="202"/>
      <c r="M332" s="180"/>
      <c r="N332" s="192">
        <f>G324*N330</f>
        <v>891.68969696969702</v>
      </c>
      <c r="O332" s="192">
        <f>G324*O330</f>
        <v>6262.2254545454543</v>
      </c>
      <c r="P332" s="192">
        <f>G324*P330</f>
        <v>-6.7878787878787881</v>
      </c>
      <c r="Q332" s="192">
        <f t="shared" ref="Q332:Q337" si="57">N332+O332+P332</f>
        <v>7147.1272727272726</v>
      </c>
    </row>
    <row r="333" spans="1:17" ht="13.95" hidden="1" customHeight="1">
      <c r="N333" s="192">
        <f>H324*N330</f>
        <v>87385.590303030302</v>
      </c>
      <c r="O333" s="192">
        <f>H324*O330</f>
        <v>613698.09454545449</v>
      </c>
      <c r="P333" s="192">
        <f>H324*P330</f>
        <v>-665.21212121212125</v>
      </c>
      <c r="Q333" s="192">
        <f t="shared" si="57"/>
        <v>700418.47272727266</v>
      </c>
    </row>
    <row r="334" spans="1:17" ht="13.95" hidden="1" customHeight="1">
      <c r="N334" s="192">
        <f>I324*N330</f>
        <v>91844.038787878788</v>
      </c>
      <c r="O334" s="192">
        <f>I324*O330</f>
        <v>645009.2218181818</v>
      </c>
      <c r="P334" s="192">
        <f>I324*P330</f>
        <v>-699.15151515151513</v>
      </c>
      <c r="Q334" s="192">
        <f t="shared" si="57"/>
        <v>736154.10909090913</v>
      </c>
    </row>
    <row r="335" spans="1:17" ht="13.95" hidden="1" customHeight="1">
      <c r="N335" s="192">
        <f>J324*N330</f>
        <v>445.84484848484851</v>
      </c>
      <c r="O335" s="192">
        <f>J324*O330</f>
        <v>3131.1127272727272</v>
      </c>
      <c r="P335" s="192">
        <f>J324*P330</f>
        <v>-3.393939393939394</v>
      </c>
      <c r="Q335" s="192">
        <f t="shared" si="57"/>
        <v>3573.5636363636363</v>
      </c>
    </row>
    <row r="336" spans="1:17" ht="13.95" hidden="1" customHeight="1">
      <c r="N336" s="192">
        <f>K324*N330</f>
        <v>22738.087272727273</v>
      </c>
      <c r="O336" s="192">
        <f>K324*O330</f>
        <v>159686.74909090908</v>
      </c>
      <c r="P336" s="192">
        <f>K324*P330</f>
        <v>-173.09090909090909</v>
      </c>
      <c r="Q336" s="192">
        <f t="shared" si="57"/>
        <v>182251.74545454545</v>
      </c>
    </row>
    <row r="337" spans="1:17" ht="13.95" hidden="1" customHeight="1">
      <c r="N337" s="192">
        <f>L324*N330</f>
        <v>23629.77696969697</v>
      </c>
      <c r="O337" s="192">
        <f>L324*O330</f>
        <v>165948.97454545455</v>
      </c>
      <c r="P337" s="192">
        <f>L324*P330</f>
        <v>-179.87878787878788</v>
      </c>
      <c r="Q337" s="192">
        <f t="shared" si="57"/>
        <v>189398.87272727274</v>
      </c>
    </row>
    <row r="338" spans="1:17" ht="13.95" hidden="1" customHeight="1">
      <c r="M338" s="182" t="s">
        <v>296</v>
      </c>
      <c r="N338" s="182" t="s">
        <v>297</v>
      </c>
      <c r="O338" s="182" t="s">
        <v>298</v>
      </c>
    </row>
    <row r="339" spans="1:17" ht="13.95" hidden="1" customHeight="1">
      <c r="D339" s="180">
        <v>67</v>
      </c>
      <c r="E339" s="202"/>
      <c r="F339" s="202"/>
      <c r="G339" s="202">
        <v>17</v>
      </c>
      <c r="H339" s="180">
        <v>1</v>
      </c>
      <c r="I339" s="180">
        <v>72</v>
      </c>
      <c r="J339" s="180">
        <v>44</v>
      </c>
      <c r="K339" s="202">
        <v>17</v>
      </c>
      <c r="L339" s="202">
        <f>D339+G339+H339+I339+J339+K339</f>
        <v>218</v>
      </c>
    </row>
    <row r="340" spans="1:17" ht="27.6" hidden="1" customHeight="1">
      <c r="A340" s="182" t="s">
        <v>303</v>
      </c>
      <c r="B340" s="193" t="s">
        <v>284</v>
      </c>
      <c r="C340" s="198">
        <v>39742</v>
      </c>
      <c r="D340" s="199"/>
      <c r="E340" s="203"/>
      <c r="F340" s="203"/>
      <c r="G340" s="203"/>
      <c r="H340" s="197"/>
      <c r="I340" s="197"/>
      <c r="J340" s="197"/>
      <c r="K340" s="203"/>
      <c r="L340" s="203"/>
      <c r="M340" s="192">
        <f>C340+C342+C346</f>
        <v>195953</v>
      </c>
      <c r="N340" s="192">
        <f>C344+C345</f>
        <v>542463</v>
      </c>
      <c r="O340" s="192">
        <f>C341+C343</f>
        <v>2064267</v>
      </c>
      <c r="P340" s="192">
        <f>M340+N340+O340</f>
        <v>2802683</v>
      </c>
    </row>
    <row r="341" spans="1:17" ht="13.95" hidden="1" customHeight="1">
      <c r="B341" s="89" t="s">
        <v>225</v>
      </c>
      <c r="C341" s="198">
        <v>1880332</v>
      </c>
      <c r="D341" s="199"/>
      <c r="E341" s="203"/>
      <c r="F341" s="203"/>
      <c r="G341" s="203"/>
      <c r="H341" s="197"/>
      <c r="I341" s="197"/>
      <c r="J341" s="197"/>
      <c r="K341" s="203"/>
      <c r="L341" s="202"/>
      <c r="M341" s="192">
        <f>M340/L339</f>
        <v>898.86697247706422</v>
      </c>
      <c r="N341" s="192">
        <f>N340/L339</f>
        <v>2488.3623853211011</v>
      </c>
      <c r="O341" s="192">
        <f>O340/L339</f>
        <v>9469.1146788990827</v>
      </c>
    </row>
    <row r="342" spans="1:17" ht="13.95" hidden="1" customHeight="1">
      <c r="B342" s="89" t="s">
        <v>225</v>
      </c>
      <c r="C342" s="198">
        <v>21109</v>
      </c>
      <c r="D342" s="199"/>
      <c r="E342" s="203"/>
      <c r="F342" s="203"/>
      <c r="G342" s="203"/>
      <c r="H342" s="197"/>
      <c r="I342" s="197"/>
      <c r="J342" s="197"/>
      <c r="K342" s="203"/>
      <c r="L342" s="202"/>
    </row>
    <row r="343" spans="1:17" ht="13.95" hidden="1" customHeight="1">
      <c r="B343" s="89" t="s">
        <v>283</v>
      </c>
      <c r="C343" s="198">
        <v>183935</v>
      </c>
      <c r="D343" s="199"/>
      <c r="E343" s="203"/>
      <c r="F343" s="203"/>
      <c r="G343" s="203"/>
      <c r="H343" s="197"/>
      <c r="I343" s="197"/>
      <c r="J343" s="197"/>
      <c r="K343" s="203"/>
      <c r="L343" s="202"/>
      <c r="M343" s="192">
        <f>C340+232583</f>
        <v>272325</v>
      </c>
      <c r="N343" s="192">
        <f>C345+1499904</f>
        <v>1542399</v>
      </c>
      <c r="O343" s="192">
        <f>C341</f>
        <v>1880332</v>
      </c>
    </row>
    <row r="344" spans="1:17" ht="13.95" hidden="1" customHeight="1">
      <c r="B344" s="89" t="s">
        <v>290</v>
      </c>
      <c r="C344" s="198">
        <v>499968</v>
      </c>
      <c r="D344" s="197"/>
      <c r="E344" s="203"/>
      <c r="F344" s="203"/>
      <c r="G344" s="203"/>
      <c r="H344" s="197"/>
      <c r="I344" s="197"/>
      <c r="J344" s="197"/>
      <c r="K344" s="203"/>
      <c r="L344" s="202"/>
      <c r="M344" s="192">
        <f>M343-M340</f>
        <v>76372</v>
      </c>
      <c r="N344" s="192">
        <f>N343-N340</f>
        <v>999936</v>
      </c>
      <c r="O344" s="192">
        <f>O343-O340</f>
        <v>-183935</v>
      </c>
    </row>
    <row r="345" spans="1:17" ht="13.95" hidden="1" customHeight="1">
      <c r="B345" s="89" t="s">
        <v>257</v>
      </c>
      <c r="C345" s="198">
        <v>42495</v>
      </c>
      <c r="D345" s="197"/>
      <c r="E345" s="203"/>
      <c r="F345" s="203"/>
      <c r="G345" s="203"/>
      <c r="H345" s="197"/>
      <c r="I345" s="197"/>
      <c r="J345" s="197"/>
      <c r="K345" s="203"/>
      <c r="L345" s="202"/>
      <c r="M345" s="192">
        <f>M344/L339</f>
        <v>350.33027522935782</v>
      </c>
      <c r="N345" s="192">
        <f>N344/L339</f>
        <v>4586.8623853211011</v>
      </c>
      <c r="O345" s="192">
        <f>O344/L339</f>
        <v>-843.7385321100918</v>
      </c>
    </row>
    <row r="346" spans="1:17" ht="13.95" hidden="1" customHeight="1">
      <c r="B346" s="89" t="s">
        <v>291</v>
      </c>
      <c r="C346" s="198">
        <v>135102</v>
      </c>
      <c r="D346" s="197"/>
      <c r="E346" s="203"/>
      <c r="F346" s="203"/>
      <c r="G346" s="203"/>
      <c r="H346" s="197"/>
      <c r="I346" s="197"/>
      <c r="J346" s="197"/>
      <c r="K346" s="203"/>
      <c r="L346" s="202"/>
      <c r="M346" s="192">
        <f>D339*M345</f>
        <v>23472.128440366974</v>
      </c>
      <c r="N346" s="192">
        <f>D339*N345</f>
        <v>307319.77981651376</v>
      </c>
      <c r="O346" s="192">
        <f>D339*O345</f>
        <v>-56530.481651376147</v>
      </c>
      <c r="P346" s="192">
        <f t="shared" ref="P346:P351" si="58">M346+N346+O346</f>
        <v>274261.42660550459</v>
      </c>
    </row>
    <row r="347" spans="1:17" ht="13.95" hidden="1" customHeight="1">
      <c r="B347" s="101" t="s">
        <v>112</v>
      </c>
      <c r="C347" s="198">
        <f>SUM(C340:C346)</f>
        <v>2802683</v>
      </c>
      <c r="D347" s="197"/>
      <c r="E347" s="203"/>
      <c r="F347" s="203"/>
      <c r="G347" s="203"/>
      <c r="H347" s="197"/>
      <c r="I347" s="197"/>
      <c r="J347" s="197"/>
      <c r="K347" s="203"/>
      <c r="L347" s="202"/>
      <c r="M347" s="192">
        <f>G339*M345</f>
        <v>5955.6146788990827</v>
      </c>
      <c r="N347" s="192">
        <f>G339*N345</f>
        <v>77976.660550458721</v>
      </c>
      <c r="O347" s="192">
        <f>G339*O345</f>
        <v>-14343.555045871561</v>
      </c>
      <c r="P347" s="192">
        <f t="shared" si="58"/>
        <v>69588.72018348625</v>
      </c>
    </row>
    <row r="348" spans="1:17" ht="13.95" hidden="1" customHeight="1">
      <c r="M348" s="192">
        <f>H339*M345</f>
        <v>350.33027522935782</v>
      </c>
      <c r="N348" s="192">
        <f>H339*N345</f>
        <v>4586.8623853211011</v>
      </c>
      <c r="O348" s="192">
        <f>H339*O345</f>
        <v>-843.7385321100918</v>
      </c>
      <c r="P348" s="192">
        <f t="shared" si="58"/>
        <v>4093.4541284403667</v>
      </c>
    </row>
    <row r="349" spans="1:17" ht="13.95" hidden="1" customHeight="1">
      <c r="M349" s="192">
        <f>I339*M345</f>
        <v>25223.779816513765</v>
      </c>
      <c r="N349" s="192">
        <f>I339*N345</f>
        <v>330254.09174311929</v>
      </c>
      <c r="O349" s="192">
        <f>I339*O345</f>
        <v>-60749.17431192661</v>
      </c>
      <c r="P349" s="192">
        <f t="shared" si="58"/>
        <v>294728.69724770647</v>
      </c>
    </row>
    <row r="350" spans="1:17" ht="13.95" hidden="1" customHeight="1">
      <c r="M350" s="192">
        <f>J339*M345</f>
        <v>15414.532110091744</v>
      </c>
      <c r="N350" s="192">
        <f>J339*N345</f>
        <v>201821.94495412844</v>
      </c>
      <c r="O350" s="192">
        <f>J339*O345</f>
        <v>-37124.495412844037</v>
      </c>
      <c r="P350" s="192">
        <f t="shared" si="58"/>
        <v>180111.98165137615</v>
      </c>
    </row>
    <row r="351" spans="1:17" ht="13.95" hidden="1" customHeight="1">
      <c r="M351" s="192">
        <f>K339*M345</f>
        <v>5955.6146788990827</v>
      </c>
      <c r="N351" s="192">
        <f>K339*N345</f>
        <v>77976.660550458721</v>
      </c>
      <c r="O351" s="192">
        <f>K339*O345</f>
        <v>-14343.555045871561</v>
      </c>
      <c r="P351" s="192">
        <f t="shared" si="58"/>
        <v>69588.72018348625</v>
      </c>
    </row>
    <row r="352" spans="1:17" ht="13.95" hidden="1" customHeight="1"/>
    <row r="353" ht="13.95" hidden="1" customHeight="1"/>
    <row r="354" ht="13.95" hidden="1" customHeight="1"/>
    <row r="355" ht="13.95" hidden="1" customHeight="1"/>
    <row r="356" ht="13.95" hidden="1" customHeight="1"/>
    <row r="357" ht="13.95" hidden="1" customHeight="1"/>
    <row r="358" ht="13.95" hidden="1" customHeight="1"/>
    <row r="359" ht="13.95" hidden="1" customHeight="1"/>
    <row r="360" ht="13.95" hidden="1" customHeight="1"/>
    <row r="361" ht="13.95" hidden="1" customHeight="1"/>
    <row r="362" ht="13.95" hidden="1" customHeight="1"/>
    <row r="363" ht="13.95" hidden="1" customHeight="1"/>
    <row r="364" ht="13.95" hidden="1" customHeight="1"/>
    <row r="365" ht="13.95" hidden="1" customHeight="1"/>
    <row r="366" ht="13.95" hidden="1" customHeight="1"/>
    <row r="367" ht="13.95" hidden="1" customHeight="1"/>
    <row r="368" ht="13.95" hidden="1" customHeight="1"/>
    <row r="369" ht="13.95" hidden="1" customHeight="1"/>
    <row r="370" ht="13.95" hidden="1" customHeight="1"/>
    <row r="371" ht="13.95" hidden="1" customHeight="1"/>
    <row r="372" ht="13.95" hidden="1" customHeight="1"/>
    <row r="373" ht="13.95" hidden="1" customHeight="1"/>
    <row r="374" ht="13.95" hidden="1" customHeight="1"/>
    <row r="375" ht="13.95" hidden="1" customHeight="1"/>
    <row r="376" ht="13.95" hidden="1" customHeight="1"/>
    <row r="377" ht="13.95" hidden="1" customHeight="1"/>
    <row r="378" ht="13.95" hidden="1" customHeight="1"/>
    <row r="379" ht="13.95" hidden="1" customHeight="1"/>
    <row r="380" ht="13.95" hidden="1" customHeight="1"/>
    <row r="381" ht="13.95" hidden="1" customHeight="1"/>
    <row r="382" ht="13.95" hidden="1" customHeight="1"/>
    <row r="383" ht="13.95" hidden="1" customHeight="1"/>
    <row r="384" ht="13.95" hidden="1" customHeight="1"/>
    <row r="385" ht="13.95" hidden="1" customHeight="1"/>
    <row r="386" ht="13.95" hidden="1" customHeight="1"/>
    <row r="387" ht="13.95" hidden="1" customHeight="1"/>
    <row r="388" ht="13.95" hidden="1" customHeight="1"/>
    <row r="389" ht="13.95" hidden="1" customHeight="1"/>
    <row r="390" ht="13.95" hidden="1" customHeight="1"/>
    <row r="391" ht="13.95" hidden="1" customHeight="1"/>
    <row r="392" ht="13.95" hidden="1" customHeight="1"/>
    <row r="393" ht="13.95" hidden="1" customHeight="1"/>
    <row r="394" ht="13.95" hidden="1" customHeight="1"/>
    <row r="395" ht="13.95" hidden="1" customHeight="1"/>
    <row r="396" ht="13.95" hidden="1" customHeight="1"/>
    <row r="397" ht="13.95" hidden="1" customHeight="1"/>
    <row r="398" ht="13.95" hidden="1" customHeight="1"/>
    <row r="399" ht="13.95" hidden="1" customHeight="1"/>
    <row r="400" ht="13.95" hidden="1" customHeight="1"/>
    <row r="401" ht="13.95" hidden="1" customHeight="1"/>
    <row r="402" ht="13.95" hidden="1" customHeight="1"/>
    <row r="403" ht="13.95" hidden="1" customHeight="1"/>
    <row r="404" ht="13.95" hidden="1" customHeight="1"/>
    <row r="405" ht="13.95" hidden="1" customHeight="1"/>
    <row r="406" ht="13.95" hidden="1" customHeight="1"/>
    <row r="407" ht="13.95" hidden="1" customHeight="1"/>
    <row r="408" ht="13.95" hidden="1" customHeight="1"/>
    <row r="409" ht="13.95" hidden="1" customHeight="1"/>
    <row r="410" ht="13.95" hidden="1" customHeight="1"/>
    <row r="411" ht="13.95" hidden="1" customHeight="1"/>
    <row r="412" ht="13.95" hidden="1" customHeight="1"/>
    <row r="413" ht="13.95" hidden="1" customHeight="1"/>
    <row r="414" ht="13.95" hidden="1" customHeight="1"/>
    <row r="415" ht="13.95" hidden="1" customHeight="1"/>
    <row r="416" ht="13.95" hidden="1" customHeight="1"/>
    <row r="417" ht="13.95" hidden="1" customHeight="1"/>
    <row r="418" ht="13.95" hidden="1" customHeight="1"/>
    <row r="419" ht="13.95" hidden="1" customHeight="1"/>
    <row r="420" ht="13.95" hidden="1" customHeight="1"/>
    <row r="421" ht="13.95" hidden="1" customHeight="1"/>
    <row r="422" ht="13.95" hidden="1" customHeight="1"/>
    <row r="423" ht="13.95" hidden="1" customHeight="1"/>
    <row r="424" ht="13.95" hidden="1" customHeight="1"/>
    <row r="425" ht="13.95" hidden="1" customHeight="1"/>
    <row r="426" ht="13.95" hidden="1" customHeight="1"/>
    <row r="427" ht="13.95" hidden="1" customHeight="1"/>
    <row r="428" ht="13.95" hidden="1" customHeight="1"/>
    <row r="429" ht="13.95" hidden="1" customHeight="1"/>
    <row r="430" ht="13.95" hidden="1" customHeight="1"/>
    <row r="431" ht="13.95" hidden="1" customHeight="1"/>
    <row r="432" ht="13.95" hidden="1" customHeight="1"/>
    <row r="433" ht="13.95" hidden="1" customHeight="1"/>
    <row r="434" ht="13.95" hidden="1" customHeight="1"/>
    <row r="435" ht="13.95" hidden="1" customHeight="1"/>
    <row r="436" ht="13.95" hidden="1" customHeight="1"/>
    <row r="437" ht="13.95" hidden="1" customHeight="1"/>
    <row r="438" ht="13.95" hidden="1" customHeight="1"/>
    <row r="439" ht="13.95" hidden="1" customHeight="1"/>
    <row r="440" ht="13.95" hidden="1" customHeight="1"/>
    <row r="441" ht="13.95" hidden="1" customHeight="1"/>
    <row r="442" ht="13.95" hidden="1" customHeight="1"/>
    <row r="443" ht="13.95" hidden="1" customHeight="1"/>
    <row r="444" ht="13.95" hidden="1" customHeight="1"/>
    <row r="445" ht="13.95" hidden="1" customHeight="1"/>
    <row r="446" ht="13.95" hidden="1" customHeight="1"/>
    <row r="447" ht="13.95" hidden="1" customHeight="1"/>
    <row r="448" ht="13.95" hidden="1" customHeight="1"/>
    <row r="449" ht="13.95" hidden="1" customHeight="1"/>
    <row r="450" ht="13.95" hidden="1" customHeight="1"/>
    <row r="451" ht="13.95" hidden="1" customHeight="1"/>
    <row r="452" ht="13.95" hidden="1" customHeight="1"/>
    <row r="453" ht="13.95" hidden="1" customHeight="1"/>
    <row r="454" ht="13.95" hidden="1" customHeight="1"/>
    <row r="455" ht="13.95" hidden="1" customHeight="1"/>
    <row r="456" ht="13.95" hidden="1" customHeight="1"/>
    <row r="457" ht="13.95" hidden="1" customHeight="1"/>
    <row r="458" ht="13.95" hidden="1" customHeight="1"/>
    <row r="459" ht="13.95" hidden="1" customHeight="1"/>
    <row r="460" ht="13.95" hidden="1" customHeight="1"/>
    <row r="461" ht="13.95" hidden="1" customHeight="1"/>
    <row r="462" ht="13.95" hidden="1" customHeight="1"/>
    <row r="463" ht="13.95" hidden="1" customHeight="1"/>
    <row r="464" ht="13.95" hidden="1" customHeight="1"/>
    <row r="465" ht="13.95" hidden="1" customHeight="1"/>
    <row r="466" ht="13.95" hidden="1" customHeight="1"/>
    <row r="467" ht="13.95" hidden="1" customHeight="1"/>
    <row r="468" ht="13.95" hidden="1" customHeight="1"/>
    <row r="469" ht="13.95" hidden="1" customHeight="1"/>
    <row r="470" ht="13.95" hidden="1" customHeight="1"/>
    <row r="471" ht="13.95" hidden="1" customHeight="1"/>
    <row r="472" ht="13.95" hidden="1" customHeight="1"/>
    <row r="473" ht="13.95" hidden="1" customHeight="1"/>
    <row r="474" ht="13.95" hidden="1" customHeight="1"/>
    <row r="475" ht="13.95" hidden="1" customHeight="1"/>
    <row r="476" ht="13.95" hidden="1" customHeight="1"/>
    <row r="477" ht="13.95" hidden="1" customHeight="1"/>
    <row r="478" ht="13.95" hidden="1" customHeight="1"/>
    <row r="479" ht="13.95" hidden="1" customHeight="1"/>
    <row r="480" ht="13.95" hidden="1" customHeight="1"/>
    <row r="481" ht="13.95" hidden="1" customHeight="1"/>
    <row r="482" ht="13.95" hidden="1" customHeight="1"/>
    <row r="483" ht="13.95" hidden="1" customHeight="1"/>
    <row r="484" ht="13.95" hidden="1" customHeight="1"/>
    <row r="485" ht="13.95" hidden="1" customHeight="1"/>
    <row r="486" ht="13.95" hidden="1" customHeight="1"/>
    <row r="487" ht="13.95" hidden="1" customHeight="1"/>
    <row r="488" ht="13.95" hidden="1" customHeight="1"/>
    <row r="489" ht="13.95" hidden="1" customHeight="1"/>
    <row r="490" ht="13.95" hidden="1" customHeight="1"/>
    <row r="491" ht="13.95" hidden="1" customHeight="1"/>
    <row r="492" ht="13.95" hidden="1" customHeight="1"/>
    <row r="493" ht="13.95" hidden="1" customHeight="1"/>
    <row r="494" ht="13.95" hidden="1" customHeight="1"/>
    <row r="495" ht="13.95" hidden="1" customHeight="1"/>
    <row r="496" ht="13.95" hidden="1" customHeight="1"/>
    <row r="497" ht="13.95" hidden="1" customHeight="1"/>
    <row r="498" ht="13.95" hidden="1" customHeight="1"/>
    <row r="499" ht="13.95" hidden="1" customHeight="1"/>
    <row r="500" ht="13.95" hidden="1" customHeight="1"/>
    <row r="501" ht="13.95" hidden="1" customHeight="1"/>
    <row r="502" ht="13.95" hidden="1" customHeight="1"/>
    <row r="503" ht="13.95" hidden="1" customHeight="1"/>
    <row r="504" ht="13.95" hidden="1" customHeight="1"/>
    <row r="505" ht="13.95" hidden="1" customHeight="1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" right="0" top="0" bottom="0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63"/>
  <sheetViews>
    <sheetView zoomScale="70" zoomScaleNormal="70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O8" sqref="O8"/>
    </sheetView>
  </sheetViews>
  <sheetFormatPr defaultColWidth="9.109375" defaultRowHeight="13.8"/>
  <cols>
    <col min="1" max="1" width="30.6640625" style="225" customWidth="1"/>
    <col min="2" max="2" width="21.5546875" style="225" customWidth="1"/>
    <col min="3" max="3" width="23.6640625" style="225" customWidth="1"/>
    <col min="4" max="4" width="9.44140625" style="226" customWidth="1"/>
    <col min="5" max="5" width="0.109375" style="226" hidden="1" customWidth="1"/>
    <col min="6" max="6" width="12.88671875" style="226" hidden="1" customWidth="1"/>
    <col min="7" max="7" width="12.33203125" style="226" customWidth="1"/>
    <col min="8" max="8" width="12.6640625" style="226" customWidth="1"/>
    <col min="9" max="9" width="12.33203125" style="226" customWidth="1"/>
    <col min="10" max="10" width="13" style="226" customWidth="1"/>
    <col min="11" max="11" width="13.109375" style="226" customWidth="1"/>
    <col min="12" max="12" width="13.88671875" style="225" customWidth="1"/>
    <col min="13" max="13" width="13.33203125" style="226" customWidth="1"/>
    <col min="14" max="14" width="15.109375" style="226" customWidth="1"/>
    <col min="15" max="15" width="16" style="226" customWidth="1"/>
    <col min="16" max="16" width="5.6640625" style="226" hidden="1" customWidth="1"/>
    <col min="17" max="17" width="15.109375" style="225" customWidth="1"/>
    <col min="18" max="18" width="0.44140625" style="225" hidden="1" customWidth="1"/>
    <col min="19" max="19" width="14.33203125" style="225" customWidth="1"/>
    <col min="20" max="20" width="16.5546875" style="226" customWidth="1"/>
    <col min="21" max="21" width="14.44140625" style="226" customWidth="1"/>
    <col min="22" max="22" width="15.33203125" style="226" customWidth="1"/>
    <col min="23" max="23" width="15.33203125" style="225" hidden="1" customWidth="1"/>
    <col min="24" max="24" width="17.5546875" style="225" hidden="1" customWidth="1"/>
    <col min="25" max="25" width="18.6640625" style="225" hidden="1" customWidth="1"/>
    <col min="26" max="26" width="9.109375" style="225" hidden="1" customWidth="1"/>
    <col min="27" max="27" width="16.5546875" style="225" hidden="1" customWidth="1"/>
    <col min="28" max="28" width="17.109375" style="225" hidden="1" customWidth="1"/>
    <col min="29" max="29" width="15.6640625" style="225" hidden="1" customWidth="1"/>
    <col min="30" max="33" width="9.109375" style="225" customWidth="1"/>
    <col min="34" max="34" width="14.88671875" style="225" customWidth="1"/>
    <col min="35" max="16384" width="9.109375" style="225"/>
  </cols>
  <sheetData>
    <row r="1" spans="1:29" hidden="1">
      <c r="T1" s="227" t="s">
        <v>203</v>
      </c>
    </row>
    <row r="2" spans="1:29" hidden="1">
      <c r="T2" s="227" t="s">
        <v>204</v>
      </c>
    </row>
    <row r="3" spans="1:29">
      <c r="D3" s="225"/>
      <c r="E3" s="225"/>
      <c r="F3" s="225"/>
      <c r="G3" s="225"/>
      <c r="H3" s="225"/>
      <c r="I3" s="225"/>
      <c r="J3" s="225"/>
      <c r="K3" s="225"/>
      <c r="M3" s="225"/>
      <c r="N3" s="225"/>
      <c r="O3" s="225"/>
      <c r="P3" s="225"/>
      <c r="T3" s="284" t="s">
        <v>175</v>
      </c>
      <c r="U3" s="225"/>
      <c r="V3" s="225"/>
    </row>
    <row r="4" spans="1:29" hidden="1">
      <c r="D4" s="225"/>
      <c r="E4" s="225"/>
      <c r="F4" s="225"/>
      <c r="G4" s="225"/>
      <c r="H4" s="225"/>
      <c r="I4" s="225"/>
      <c r="J4" s="225"/>
      <c r="K4" s="225"/>
      <c r="M4" s="225"/>
      <c r="N4" s="225"/>
      <c r="O4" s="225"/>
      <c r="P4" s="225"/>
      <c r="T4" s="284" t="s">
        <v>332</v>
      </c>
      <c r="U4" s="225"/>
      <c r="V4" s="225"/>
    </row>
    <row r="5" spans="1:29" hidden="1">
      <c r="D5" s="225"/>
      <c r="E5" s="225"/>
      <c r="F5" s="225"/>
      <c r="G5" s="225"/>
      <c r="H5" s="225"/>
      <c r="I5" s="225"/>
      <c r="J5" s="225"/>
      <c r="K5" s="225"/>
      <c r="M5" s="225"/>
      <c r="N5" s="225"/>
      <c r="O5" s="225"/>
      <c r="P5" s="225"/>
      <c r="T5" s="284" t="s">
        <v>175</v>
      </c>
      <c r="U5" s="225"/>
      <c r="V5" s="225"/>
    </row>
    <row r="6" spans="1:29">
      <c r="D6" s="225"/>
      <c r="E6" s="225"/>
      <c r="F6" s="225"/>
      <c r="G6" s="225"/>
      <c r="H6" s="225"/>
      <c r="I6" s="225"/>
      <c r="J6" s="225"/>
      <c r="K6" s="225"/>
      <c r="M6" s="225"/>
      <c r="N6" s="225"/>
      <c r="O6" s="225"/>
      <c r="P6" s="225"/>
      <c r="T6" s="284" t="s">
        <v>361</v>
      </c>
      <c r="U6" s="225"/>
      <c r="V6" s="225"/>
    </row>
    <row r="7" spans="1:29">
      <c r="A7" s="389" t="s">
        <v>333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</row>
    <row r="8" spans="1:29" ht="17.399999999999999">
      <c r="A8" s="228" t="s">
        <v>155</v>
      </c>
      <c r="D8" s="225"/>
      <c r="E8" s="225"/>
      <c r="F8" s="225"/>
      <c r="G8" s="225"/>
      <c r="H8" s="225"/>
      <c r="I8" s="225"/>
      <c r="J8" s="225"/>
      <c r="K8" s="225"/>
      <c r="M8" s="225"/>
      <c r="N8" s="225"/>
      <c r="O8" s="225"/>
      <c r="P8" s="225"/>
      <c r="T8" s="225"/>
      <c r="U8" s="225"/>
      <c r="V8" s="225"/>
    </row>
    <row r="9" spans="1:29">
      <c r="D9" s="225"/>
      <c r="E9" s="225"/>
      <c r="F9" s="225"/>
      <c r="G9" s="225"/>
      <c r="H9" s="225"/>
      <c r="I9" s="225"/>
      <c r="J9" s="225"/>
      <c r="K9" s="225"/>
      <c r="M9" s="225"/>
      <c r="N9" s="225"/>
      <c r="O9" s="225"/>
      <c r="P9" s="225"/>
      <c r="T9" s="225"/>
      <c r="U9" s="225"/>
      <c r="V9" s="225"/>
    </row>
    <row r="10" spans="1:29" ht="48" customHeight="1">
      <c r="A10" s="241" t="s">
        <v>3</v>
      </c>
      <c r="B10" s="241" t="s">
        <v>81</v>
      </c>
      <c r="C10" s="241" t="s">
        <v>152</v>
      </c>
      <c r="D10" s="239" t="s">
        <v>4</v>
      </c>
      <c r="E10" s="390" t="s">
        <v>5</v>
      </c>
      <c r="F10" s="391"/>
      <c r="G10" s="391"/>
      <c r="H10" s="391"/>
      <c r="I10" s="392"/>
      <c r="J10" s="390" t="s">
        <v>6</v>
      </c>
      <c r="K10" s="393"/>
      <c r="L10" s="393"/>
      <c r="M10" s="394"/>
      <c r="N10" s="395" t="s">
        <v>7</v>
      </c>
      <c r="O10" s="395"/>
      <c r="P10" s="395"/>
      <c r="Q10" s="395"/>
      <c r="R10" s="395"/>
      <c r="S10" s="395"/>
      <c r="T10" s="395"/>
      <c r="U10" s="395"/>
      <c r="V10" s="395"/>
    </row>
    <row r="11" spans="1:29" ht="102.6" customHeight="1">
      <c r="A11" s="232"/>
      <c r="B11" s="232"/>
      <c r="C11" s="232"/>
      <c r="D11" s="233"/>
      <c r="E11" s="230" t="s">
        <v>339</v>
      </c>
      <c r="F11" s="234" t="s">
        <v>340</v>
      </c>
      <c r="G11" s="234" t="s">
        <v>334</v>
      </c>
      <c r="H11" s="235" t="s">
        <v>260</v>
      </c>
      <c r="I11" s="235" t="s">
        <v>335</v>
      </c>
      <c r="J11" s="231" t="s">
        <v>79</v>
      </c>
      <c r="K11" s="231" t="s">
        <v>224</v>
      </c>
      <c r="L11" s="229" t="s">
        <v>11</v>
      </c>
      <c r="M11" s="235" t="s">
        <v>12</v>
      </c>
      <c r="N11" s="399" t="s">
        <v>205</v>
      </c>
      <c r="O11" s="399"/>
      <c r="P11" s="399"/>
      <c r="Q11" s="399"/>
      <c r="R11" s="399"/>
      <c r="S11" s="399"/>
      <c r="T11" s="399"/>
      <c r="U11" s="235" t="s">
        <v>260</v>
      </c>
      <c r="V11" s="235" t="s">
        <v>335</v>
      </c>
      <c r="AA11" s="225">
        <v>21722659.059999999</v>
      </c>
      <c r="AB11" s="237">
        <f>AA11+U21</f>
        <v>24540595.059999999</v>
      </c>
    </row>
    <row r="12" spans="1:29" ht="72.599999999999994" customHeight="1">
      <c r="A12" s="229" t="s">
        <v>13</v>
      </c>
      <c r="B12" s="229" t="s">
        <v>14</v>
      </c>
      <c r="C12" s="238"/>
      <c r="D12" s="230" t="s">
        <v>15</v>
      </c>
      <c r="E12" s="230" t="s">
        <v>16</v>
      </c>
      <c r="F12" s="230" t="s">
        <v>16</v>
      </c>
      <c r="G12" s="230" t="s">
        <v>16</v>
      </c>
      <c r="H12" s="230" t="s">
        <v>16</v>
      </c>
      <c r="I12" s="230" t="s">
        <v>16</v>
      </c>
      <c r="J12" s="231" t="s">
        <v>17</v>
      </c>
      <c r="K12" s="231" t="s">
        <v>17</v>
      </c>
      <c r="L12" s="229" t="s">
        <v>17</v>
      </c>
      <c r="M12" s="230" t="s">
        <v>17</v>
      </c>
      <c r="N12" s="231" t="s">
        <v>85</v>
      </c>
      <c r="O12" s="231" t="s">
        <v>83</v>
      </c>
      <c r="P12" s="239" t="s">
        <v>228</v>
      </c>
      <c r="Q12" s="241" t="s">
        <v>84</v>
      </c>
      <c r="R12" s="241" t="s">
        <v>227</v>
      </c>
      <c r="S12" s="241" t="s">
        <v>251</v>
      </c>
      <c r="T12" s="310" t="s">
        <v>12</v>
      </c>
      <c r="U12" s="230" t="s">
        <v>17</v>
      </c>
      <c r="V12" s="230" t="s">
        <v>17</v>
      </c>
      <c r="W12" s="237"/>
      <c r="AA12" s="237">
        <f>U13-AB11</f>
        <v>600560.6799999997</v>
      </c>
    </row>
    <row r="13" spans="1:29" ht="36" customHeight="1">
      <c r="A13" s="298" t="s">
        <v>18</v>
      </c>
      <c r="B13" s="246"/>
      <c r="C13" s="246"/>
      <c r="D13" s="295"/>
      <c r="E13" s="299"/>
      <c r="F13" s="299"/>
      <c r="G13" s="299"/>
      <c r="H13" s="299"/>
      <c r="I13" s="299"/>
      <c r="J13" s="299"/>
      <c r="K13" s="299"/>
      <c r="L13" s="311"/>
      <c r="M13" s="300"/>
      <c r="N13" s="313">
        <f>N14+N20</f>
        <v>9268784.4699999988</v>
      </c>
      <c r="O13" s="313">
        <f>O14+O20</f>
        <v>1639261.8</v>
      </c>
      <c r="P13" s="313"/>
      <c r="Q13" s="313">
        <f>Q14+Q20</f>
        <v>11415173.469999999</v>
      </c>
      <c r="R13" s="313"/>
      <c r="S13" s="313">
        <f>S21</f>
        <v>2817936</v>
      </c>
      <c r="T13" s="313">
        <f>T14+T20+T21</f>
        <v>25141155.739999998</v>
      </c>
      <c r="U13" s="301">
        <f>U14+U20+U21</f>
        <v>25141155.739999998</v>
      </c>
      <c r="V13" s="301">
        <f>V14+V20+V21</f>
        <v>25141155.739999998</v>
      </c>
      <c r="W13" s="237">
        <v>9687443.9800000004</v>
      </c>
      <c r="X13" s="237">
        <f>W13-Q13</f>
        <v>-1727729.4899999984</v>
      </c>
      <c r="Y13" s="225">
        <f>X13/144</f>
        <v>-11998.121458333322</v>
      </c>
      <c r="AA13" s="225">
        <v>8719839.9800000004</v>
      </c>
      <c r="AB13" s="237">
        <f>AA13-Q13</f>
        <v>-2695333.4899999984</v>
      </c>
      <c r="AC13" s="240">
        <f>AB13/I21</f>
        <v>-20419.193106060593</v>
      </c>
    </row>
    <row r="14" spans="1:29" ht="85.5" customHeight="1">
      <c r="A14" s="229" t="s">
        <v>246</v>
      </c>
      <c r="B14" s="241" t="s">
        <v>76</v>
      </c>
      <c r="C14" s="241"/>
      <c r="D14" s="295"/>
      <c r="E14" s="299"/>
      <c r="F14" s="299"/>
      <c r="G14" s="299"/>
      <c r="H14" s="299"/>
      <c r="I14" s="299"/>
      <c r="J14" s="299"/>
      <c r="K14" s="299"/>
      <c r="L14" s="311"/>
      <c r="M14" s="299"/>
      <c r="N14" s="299">
        <f>N15+N16+N18+N17+N19</f>
        <v>9268784.4699999988</v>
      </c>
      <c r="O14" s="299">
        <f t="shared" ref="O14:T14" si="0">O15+O16+O18+O17+O19</f>
        <v>1639261.8</v>
      </c>
      <c r="P14" s="299">
        <f t="shared" si="0"/>
        <v>0</v>
      </c>
      <c r="Q14" s="311">
        <f>Q15+Q16+Q18+Q17+Q19</f>
        <v>9141503.4699999988</v>
      </c>
      <c r="R14" s="311">
        <f t="shared" si="0"/>
        <v>0</v>
      </c>
      <c r="S14" s="311">
        <f t="shared" si="0"/>
        <v>0</v>
      </c>
      <c r="T14" s="299">
        <f t="shared" si="0"/>
        <v>20049549.739999998</v>
      </c>
      <c r="U14" s="299">
        <f>U15+U16+U18+U17+U19</f>
        <v>20049549.739999998</v>
      </c>
      <c r="V14" s="299">
        <f>V15+V16+V18+V17+V19</f>
        <v>20049549.739999998</v>
      </c>
      <c r="W14" s="237">
        <v>21722659.059999999</v>
      </c>
      <c r="X14" s="237"/>
    </row>
    <row r="15" spans="1:29" ht="24" customHeight="1">
      <c r="A15" s="229"/>
      <c r="B15" s="246" t="s">
        <v>266</v>
      </c>
      <c r="C15" s="400" t="s">
        <v>269</v>
      </c>
      <c r="D15" s="295" t="s">
        <v>20</v>
      </c>
      <c r="E15" s="302">
        <v>0</v>
      </c>
      <c r="F15" s="302">
        <v>0</v>
      </c>
      <c r="G15" s="302">
        <f t="shared" ref="G15:G19" si="1">((E15*8)+(F15*4))/12</f>
        <v>0</v>
      </c>
      <c r="H15" s="302">
        <v>0</v>
      </c>
      <c r="I15" s="302">
        <v>0</v>
      </c>
      <c r="J15" s="299">
        <v>52486.09</v>
      </c>
      <c r="K15" s="299">
        <f>(12142.68)</f>
        <v>12142.68</v>
      </c>
      <c r="L15" s="311">
        <v>67714.84</v>
      </c>
      <c r="M15" s="299">
        <f>J15+K15+L15</f>
        <v>132343.60999999999</v>
      </c>
      <c r="N15" s="299">
        <f>G15*J15</f>
        <v>0</v>
      </c>
      <c r="O15" s="299">
        <f t="shared" ref="O15:O20" si="2">G15*K15</f>
        <v>0</v>
      </c>
      <c r="P15" s="299"/>
      <c r="Q15" s="311">
        <f t="shared" ref="Q15:Q19" si="3">G15*L15</f>
        <v>0</v>
      </c>
      <c r="R15" s="311"/>
      <c r="S15" s="311">
        <v>0</v>
      </c>
      <c r="T15" s="299">
        <f t="shared" ref="T15:T20" si="4">SUM(N15:Q15)</f>
        <v>0</v>
      </c>
      <c r="U15" s="299">
        <v>0</v>
      </c>
      <c r="V15" s="299">
        <v>0</v>
      </c>
      <c r="X15" s="237">
        <f>W14-U13</f>
        <v>-3418496.6799999997</v>
      </c>
    </row>
    <row r="16" spans="1:29" ht="25.95" customHeight="1">
      <c r="A16" s="246"/>
      <c r="B16" s="246" t="s">
        <v>264</v>
      </c>
      <c r="C16" s="401"/>
      <c r="D16" s="295" t="s">
        <v>20</v>
      </c>
      <c r="E16" s="302">
        <v>54</v>
      </c>
      <c r="F16" s="302">
        <v>54</v>
      </c>
      <c r="G16" s="302">
        <v>42</v>
      </c>
      <c r="H16" s="302">
        <v>54</v>
      </c>
      <c r="I16" s="302">
        <v>54</v>
      </c>
      <c r="J16" s="299">
        <v>41549.4</v>
      </c>
      <c r="K16" s="299">
        <f t="shared" ref="K16:K19" si="5">(12142.68)</f>
        <v>12142.68</v>
      </c>
      <c r="L16" s="311">
        <v>67714.84</v>
      </c>
      <c r="M16" s="299">
        <f>J16+K16+L16</f>
        <v>121406.92</v>
      </c>
      <c r="N16" s="299">
        <f>G16*J16</f>
        <v>1745074.8</v>
      </c>
      <c r="O16" s="299">
        <f t="shared" si="2"/>
        <v>509992.56</v>
      </c>
      <c r="P16" s="299"/>
      <c r="Q16" s="311">
        <f>G16*L16+0.07</f>
        <v>2844023.3499999996</v>
      </c>
      <c r="R16" s="311"/>
      <c r="S16" s="311">
        <v>0</v>
      </c>
      <c r="T16" s="299">
        <f t="shared" si="4"/>
        <v>5099090.709999999</v>
      </c>
      <c r="U16" s="299">
        <f>T16</f>
        <v>5099090.709999999</v>
      </c>
      <c r="V16" s="299">
        <f t="shared" ref="V16:V20" si="6">U16</f>
        <v>5099090.709999999</v>
      </c>
      <c r="X16" s="237"/>
    </row>
    <row r="17" spans="1:29" ht="82.95" customHeight="1">
      <c r="A17" s="246"/>
      <c r="B17" s="229" t="s">
        <v>263</v>
      </c>
      <c r="C17" s="402"/>
      <c r="D17" s="295" t="s">
        <v>20</v>
      </c>
      <c r="E17" s="302">
        <v>60</v>
      </c>
      <c r="F17" s="302">
        <v>60</v>
      </c>
      <c r="G17" s="302">
        <v>46</v>
      </c>
      <c r="H17" s="302">
        <v>60</v>
      </c>
      <c r="I17" s="302">
        <v>60</v>
      </c>
      <c r="J17" s="303">
        <v>81939.37</v>
      </c>
      <c r="K17" s="299">
        <f t="shared" si="5"/>
        <v>12142.68</v>
      </c>
      <c r="L17" s="311">
        <v>67714.84</v>
      </c>
      <c r="M17" s="299">
        <f t="shared" ref="M17:M80" si="7">J17+K17+L17</f>
        <v>161796.88999999998</v>
      </c>
      <c r="N17" s="299">
        <f>G17*J17</f>
        <v>3769211.0199999996</v>
      </c>
      <c r="O17" s="299">
        <f t="shared" si="2"/>
        <v>558563.28</v>
      </c>
      <c r="P17" s="299"/>
      <c r="Q17" s="311">
        <f t="shared" si="3"/>
        <v>3114882.6399999997</v>
      </c>
      <c r="R17" s="311"/>
      <c r="S17" s="311">
        <v>0</v>
      </c>
      <c r="T17" s="299">
        <f t="shared" si="4"/>
        <v>7442656.9399999995</v>
      </c>
      <c r="U17" s="299">
        <f>T17</f>
        <v>7442656.9399999995</v>
      </c>
      <c r="V17" s="299">
        <f t="shared" si="6"/>
        <v>7442656.9399999995</v>
      </c>
      <c r="X17" s="237"/>
    </row>
    <row r="18" spans="1:29" ht="112.95" customHeight="1">
      <c r="A18" s="246"/>
      <c r="B18" s="246" t="s">
        <v>264</v>
      </c>
      <c r="C18" s="229" t="s">
        <v>268</v>
      </c>
      <c r="D18" s="295" t="s">
        <v>20</v>
      </c>
      <c r="E18" s="302">
        <v>18</v>
      </c>
      <c r="F18" s="302">
        <v>18</v>
      </c>
      <c r="G18" s="302">
        <v>47</v>
      </c>
      <c r="H18" s="302">
        <v>18</v>
      </c>
      <c r="I18" s="302">
        <v>18</v>
      </c>
      <c r="J18" s="303">
        <v>79882.95</v>
      </c>
      <c r="K18" s="299">
        <f t="shared" si="5"/>
        <v>12142.68</v>
      </c>
      <c r="L18" s="311">
        <v>67714.84</v>
      </c>
      <c r="M18" s="299">
        <f t="shared" si="7"/>
        <v>159740.47</v>
      </c>
      <c r="N18" s="299">
        <f>G18*J18</f>
        <v>3754498.65</v>
      </c>
      <c r="O18" s="299">
        <f t="shared" si="2"/>
        <v>570705.96</v>
      </c>
      <c r="P18" s="299"/>
      <c r="Q18" s="311">
        <f t="shared" si="3"/>
        <v>3182597.48</v>
      </c>
      <c r="R18" s="311"/>
      <c r="S18" s="311">
        <v>0</v>
      </c>
      <c r="T18" s="299">
        <f t="shared" si="4"/>
        <v>7507802.0899999999</v>
      </c>
      <c r="U18" s="299">
        <f>T18</f>
        <v>7507802.0899999999</v>
      </c>
      <c r="V18" s="299">
        <f t="shared" si="6"/>
        <v>7507802.0899999999</v>
      </c>
      <c r="X18" s="237"/>
    </row>
    <row r="19" spans="1:29" ht="107.25" customHeight="1">
      <c r="A19" s="246"/>
      <c r="B19" s="229" t="s">
        <v>265</v>
      </c>
      <c r="C19" s="229" t="s">
        <v>267</v>
      </c>
      <c r="D19" s="295" t="s">
        <v>31</v>
      </c>
      <c r="E19" s="302">
        <v>0</v>
      </c>
      <c r="F19" s="302">
        <v>0</v>
      </c>
      <c r="G19" s="302">
        <f t="shared" si="1"/>
        <v>0</v>
      </c>
      <c r="H19" s="302">
        <v>0</v>
      </c>
      <c r="I19" s="302">
        <v>0</v>
      </c>
      <c r="J19" s="303">
        <v>805924.76</v>
      </c>
      <c r="K19" s="299">
        <f t="shared" si="5"/>
        <v>12142.68</v>
      </c>
      <c r="L19" s="311">
        <v>67714.84</v>
      </c>
      <c r="M19" s="299">
        <v>856310.33297555987</v>
      </c>
      <c r="N19" s="299">
        <f>G19*J19</f>
        <v>0</v>
      </c>
      <c r="O19" s="299">
        <f t="shared" si="2"/>
        <v>0</v>
      </c>
      <c r="P19" s="299"/>
      <c r="Q19" s="311">
        <f t="shared" si="3"/>
        <v>0</v>
      </c>
      <c r="R19" s="311"/>
      <c r="S19" s="311"/>
      <c r="T19" s="299">
        <f t="shared" si="4"/>
        <v>0</v>
      </c>
      <c r="U19" s="299">
        <f>T19</f>
        <v>0</v>
      </c>
      <c r="V19" s="299">
        <f t="shared" si="6"/>
        <v>0</v>
      </c>
      <c r="X19" s="237">
        <f>((3*8)+(0*4))/12</f>
        <v>2</v>
      </c>
    </row>
    <row r="20" spans="1:29" s="244" customFormat="1" ht="69.599999999999994" customHeight="1">
      <c r="A20" s="296" t="s">
        <v>247</v>
      </c>
      <c r="B20" s="295" t="s">
        <v>28</v>
      </c>
      <c r="C20" s="295" t="s">
        <v>219</v>
      </c>
      <c r="D20" s="295"/>
      <c r="E20" s="302">
        <f>E18+E17+E16+E15+E19</f>
        <v>132</v>
      </c>
      <c r="F20" s="302">
        <f>F18+F17+F16+F15+F19</f>
        <v>132</v>
      </c>
      <c r="G20" s="302">
        <f>G18+G17+G16+G15+G19</f>
        <v>135</v>
      </c>
      <c r="H20" s="302">
        <f t="shared" ref="H20:I20" si="8">H18+H17+H16+H15+H19</f>
        <v>132</v>
      </c>
      <c r="I20" s="302">
        <f t="shared" si="8"/>
        <v>132</v>
      </c>
      <c r="J20" s="299"/>
      <c r="K20" s="299"/>
      <c r="L20" s="311">
        <v>16842</v>
      </c>
      <c r="M20" s="299">
        <f>J20+K20+L20</f>
        <v>16842</v>
      </c>
      <c r="N20" s="302">
        <f>E20*J20</f>
        <v>0</v>
      </c>
      <c r="O20" s="299">
        <f t="shared" si="2"/>
        <v>0</v>
      </c>
      <c r="P20" s="299"/>
      <c r="Q20" s="311">
        <f>G20*L20</f>
        <v>2273670</v>
      </c>
      <c r="R20" s="311"/>
      <c r="S20" s="311">
        <v>0</v>
      </c>
      <c r="T20" s="299">
        <f t="shared" si="4"/>
        <v>2273670</v>
      </c>
      <c r="U20" s="299">
        <f>T20</f>
        <v>2273670</v>
      </c>
      <c r="V20" s="299">
        <f t="shared" si="6"/>
        <v>2273670</v>
      </c>
      <c r="AA20" s="245">
        <f>18835786.28+U34</f>
        <v>21013282.280000001</v>
      </c>
      <c r="AB20" s="245">
        <f>U24-AA20</f>
        <v>-1980311.0804604702</v>
      </c>
      <c r="AC20" s="245"/>
    </row>
    <row r="21" spans="1:29" s="226" customFormat="1" ht="27.6" customHeight="1">
      <c r="A21" s="295"/>
      <c r="B21" s="295" t="s">
        <v>28</v>
      </c>
      <c r="C21" s="295" t="s">
        <v>220</v>
      </c>
      <c r="D21" s="295"/>
      <c r="E21" s="302"/>
      <c r="F21" s="302"/>
      <c r="G21" s="302">
        <v>132</v>
      </c>
      <c r="H21" s="302">
        <v>132</v>
      </c>
      <c r="I21" s="302">
        <v>132</v>
      </c>
      <c r="J21" s="299"/>
      <c r="K21" s="299"/>
      <c r="L21" s="311">
        <v>21348</v>
      </c>
      <c r="M21" s="299">
        <f>J21+K21+L21</f>
        <v>21348</v>
      </c>
      <c r="N21" s="302"/>
      <c r="O21" s="299"/>
      <c r="P21" s="299"/>
      <c r="Q21" s="311"/>
      <c r="R21" s="311"/>
      <c r="S21" s="311">
        <f>G21*L21</f>
        <v>2817936</v>
      </c>
      <c r="T21" s="299">
        <f>S21</f>
        <v>2817936</v>
      </c>
      <c r="U21" s="299">
        <f>S21</f>
        <v>2817936</v>
      </c>
      <c r="V21" s="299">
        <f>S21</f>
        <v>2817936</v>
      </c>
    </row>
    <row r="22" spans="1:29" ht="18.75" hidden="1" customHeight="1">
      <c r="A22" s="246"/>
      <c r="B22" s="241"/>
      <c r="C22" s="246" t="s">
        <v>226</v>
      </c>
      <c r="D22" s="295"/>
      <c r="E22" s="302"/>
      <c r="F22" s="302"/>
      <c r="G22" s="302"/>
      <c r="H22" s="302"/>
      <c r="I22" s="302"/>
      <c r="J22" s="299"/>
      <c r="K22" s="299"/>
      <c r="L22" s="311"/>
      <c r="M22" s="299">
        <f t="shared" si="7"/>
        <v>0</v>
      </c>
      <c r="N22" s="302"/>
      <c r="O22" s="299"/>
      <c r="P22" s="302"/>
      <c r="Q22" s="311"/>
      <c r="R22" s="311"/>
      <c r="S22" s="311"/>
      <c r="T22" s="299">
        <f>N22+O22+P22+Q22</f>
        <v>0</v>
      </c>
      <c r="U22" s="299">
        <f>T22</f>
        <v>0</v>
      </c>
      <c r="V22" s="299">
        <f>U22</f>
        <v>0</v>
      </c>
    </row>
    <row r="23" spans="1:29" ht="18.75" customHeight="1">
      <c r="A23" s="246"/>
      <c r="B23" s="241"/>
      <c r="C23" s="246"/>
      <c r="D23" s="295"/>
      <c r="E23" s="302"/>
      <c r="F23" s="302"/>
      <c r="G23" s="302"/>
      <c r="H23" s="302"/>
      <c r="I23" s="302"/>
      <c r="J23" s="299"/>
      <c r="K23" s="299"/>
      <c r="L23" s="311"/>
      <c r="M23" s="299">
        <f t="shared" si="7"/>
        <v>0</v>
      </c>
      <c r="N23" s="302"/>
      <c r="O23" s="299"/>
      <c r="P23" s="302"/>
      <c r="Q23" s="311"/>
      <c r="R23" s="311"/>
      <c r="S23" s="311"/>
      <c r="T23" s="299">
        <f>O23</f>
        <v>0</v>
      </c>
      <c r="U23" s="299">
        <f>T23</f>
        <v>0</v>
      </c>
      <c r="V23" s="299">
        <f>U23</f>
        <v>0</v>
      </c>
    </row>
    <row r="24" spans="1:29" ht="18.75" customHeight="1">
      <c r="A24" s="298" t="s">
        <v>35</v>
      </c>
      <c r="B24" s="246"/>
      <c r="C24" s="246"/>
      <c r="D24" s="304"/>
      <c r="E24" s="305"/>
      <c r="F24" s="305"/>
      <c r="G24" s="305"/>
      <c r="H24" s="305"/>
      <c r="I24" s="305"/>
      <c r="J24" s="301"/>
      <c r="K24" s="299"/>
      <c r="L24" s="312"/>
      <c r="M24" s="299">
        <f t="shared" si="7"/>
        <v>0</v>
      </c>
      <c r="N24" s="313">
        <f>N25+N33</f>
        <v>9105347.9195395317</v>
      </c>
      <c r="O24" s="313">
        <f>O25</f>
        <v>1238553.3600000001</v>
      </c>
      <c r="P24" s="318">
        <f>P25</f>
        <v>0</v>
      </c>
      <c r="Q24" s="313">
        <f>Q25+Q33</f>
        <v>6511573.9199999999</v>
      </c>
      <c r="R24" s="313">
        <f>R25</f>
        <v>0</v>
      </c>
      <c r="S24" s="313">
        <f>S34</f>
        <v>2177496</v>
      </c>
      <c r="T24" s="313">
        <f>T25+T33+T34</f>
        <v>19032971.199539531</v>
      </c>
      <c r="U24" s="313">
        <f t="shared" ref="U24:V24" si="9">U25+U33+U34</f>
        <v>19032971.199539531</v>
      </c>
      <c r="V24" s="313">
        <f t="shared" si="9"/>
        <v>19032971.199539531</v>
      </c>
      <c r="W24" s="225">
        <v>6438122.5499999998</v>
      </c>
      <c r="X24" s="237">
        <f>W24-Q24</f>
        <v>-73451.370000000112</v>
      </c>
      <c r="Y24" s="225">
        <f>X24/108</f>
        <v>-680.10527777777884</v>
      </c>
      <c r="AA24" s="225">
        <v>6003686.5499999998</v>
      </c>
      <c r="AB24" s="237">
        <f>AA24-Q24</f>
        <v>-507887.37000000011</v>
      </c>
      <c r="AC24" s="225">
        <f>AB24/I33</f>
        <v>-4979.2879411764716</v>
      </c>
    </row>
    <row r="25" spans="1:29" ht="84.75" customHeight="1">
      <c r="A25" s="229" t="s">
        <v>246</v>
      </c>
      <c r="B25" s="241" t="s">
        <v>76</v>
      </c>
      <c r="C25" s="241"/>
      <c r="D25" s="295"/>
      <c r="E25" s="302"/>
      <c r="F25" s="302"/>
      <c r="G25" s="302"/>
      <c r="H25" s="302"/>
      <c r="I25" s="302"/>
      <c r="J25" s="299"/>
      <c r="K25" s="299"/>
      <c r="L25" s="311"/>
      <c r="M25" s="299">
        <f t="shared" si="7"/>
        <v>0</v>
      </c>
      <c r="N25" s="299">
        <f>SUM(N26:N34)</f>
        <v>9105347.9195395317</v>
      </c>
      <c r="O25" s="299">
        <f>SUM(O26:O34)</f>
        <v>1238553.3600000001</v>
      </c>
      <c r="P25" s="302"/>
      <c r="Q25" s="311">
        <f>SUM(Q26:Q30)</f>
        <v>4793689.92</v>
      </c>
      <c r="R25" s="311"/>
      <c r="S25" s="311"/>
      <c r="T25" s="299">
        <f>SUM(T26:T32)</f>
        <v>15137591.199539531</v>
      </c>
      <c r="U25" s="299">
        <f>SUM(U26:U32)</f>
        <v>15137591.199539531</v>
      </c>
      <c r="V25" s="299">
        <f>SUM(V26:V32)</f>
        <v>15137591.199539531</v>
      </c>
      <c r="W25" s="237">
        <v>18835786.280000001</v>
      </c>
      <c r="Y25" s="237"/>
      <c r="AA25" s="237"/>
    </row>
    <row r="26" spans="1:29" ht="52.5" customHeight="1">
      <c r="A26" s="229"/>
      <c r="B26" s="246" t="s">
        <v>266</v>
      </c>
      <c r="C26" s="400" t="s">
        <v>269</v>
      </c>
      <c r="D26" s="295" t="s">
        <v>20</v>
      </c>
      <c r="E26" s="302">
        <v>19</v>
      </c>
      <c r="F26" s="302">
        <v>19</v>
      </c>
      <c r="G26" s="302">
        <v>14</v>
      </c>
      <c r="H26" s="302">
        <v>19</v>
      </c>
      <c r="I26" s="302">
        <v>19</v>
      </c>
      <c r="J26" s="299">
        <f>45831*1.00524751162</f>
        <v>46071.498705056219</v>
      </c>
      <c r="K26" s="299">
        <f>(12142.68)</f>
        <v>12142.68</v>
      </c>
      <c r="L26" s="311">
        <v>46996.959999999999</v>
      </c>
      <c r="M26" s="299">
        <f t="shared" si="7"/>
        <v>105211.13870505622</v>
      </c>
      <c r="N26" s="299">
        <f>G26*J26</f>
        <v>645000.9818707871</v>
      </c>
      <c r="O26" s="299">
        <f>G26*K26</f>
        <v>169997.52000000002</v>
      </c>
      <c r="P26" s="302"/>
      <c r="Q26" s="311">
        <f>G26*L26</f>
        <v>657957.43999999994</v>
      </c>
      <c r="R26" s="311"/>
      <c r="S26" s="311"/>
      <c r="T26" s="299">
        <f>SUM(N26:Q26)</f>
        <v>1472955.9418707872</v>
      </c>
      <c r="U26" s="299">
        <f>T26</f>
        <v>1472955.9418707872</v>
      </c>
      <c r="V26" s="299">
        <f>U26</f>
        <v>1472955.9418707872</v>
      </c>
      <c r="X26" s="237">
        <f>W25-U24</f>
        <v>-197184.91953952983</v>
      </c>
    </row>
    <row r="27" spans="1:29" ht="52.5" customHeight="1">
      <c r="A27" s="229"/>
      <c r="B27" s="246" t="s">
        <v>264</v>
      </c>
      <c r="C27" s="402"/>
      <c r="D27" s="295" t="s">
        <v>20</v>
      </c>
      <c r="E27" s="302">
        <v>0</v>
      </c>
      <c r="F27" s="302">
        <v>0</v>
      </c>
      <c r="G27" s="302">
        <f t="shared" ref="G27:G32" si="10">((E27*8)+(F27*4))/12</f>
        <v>0</v>
      </c>
      <c r="H27" s="302">
        <v>0</v>
      </c>
      <c r="I27" s="302">
        <v>0</v>
      </c>
      <c r="J27" s="299">
        <f>36323.51</f>
        <v>36323.51</v>
      </c>
      <c r="K27" s="299">
        <f t="shared" ref="K27:K30" si="11">(12142.68)</f>
        <v>12142.68</v>
      </c>
      <c r="L27" s="311">
        <v>46996.959999999999</v>
      </c>
      <c r="M27" s="299">
        <f t="shared" si="7"/>
        <v>95463.15</v>
      </c>
      <c r="N27" s="299">
        <f>G27*J27</f>
        <v>0</v>
      </c>
      <c r="O27" s="299">
        <f>G27*K27</f>
        <v>0</v>
      </c>
      <c r="P27" s="302"/>
      <c r="Q27" s="311">
        <f>G27*L27</f>
        <v>0</v>
      </c>
      <c r="R27" s="311"/>
      <c r="S27" s="311"/>
      <c r="T27" s="299">
        <f>SUM(N27:Q27)</f>
        <v>0</v>
      </c>
      <c r="U27" s="299">
        <v>0</v>
      </c>
      <c r="V27" s="299">
        <f>U27</f>
        <v>0</v>
      </c>
    </row>
    <row r="28" spans="1:29" ht="54.75" customHeight="1">
      <c r="A28" s="229"/>
      <c r="B28" s="246" t="s">
        <v>310</v>
      </c>
      <c r="C28" s="400" t="s">
        <v>270</v>
      </c>
      <c r="D28" s="295" t="s">
        <v>20</v>
      </c>
      <c r="E28" s="302">
        <v>0</v>
      </c>
      <c r="F28" s="302">
        <v>0</v>
      </c>
      <c r="G28" s="302">
        <f t="shared" si="10"/>
        <v>0</v>
      </c>
      <c r="H28" s="302">
        <v>0</v>
      </c>
      <c r="I28" s="302">
        <v>0</v>
      </c>
      <c r="J28" s="299">
        <f>151319.69</f>
        <v>151319.69</v>
      </c>
      <c r="K28" s="299">
        <f t="shared" si="11"/>
        <v>12142.68</v>
      </c>
      <c r="L28" s="311">
        <v>46996.959999999999</v>
      </c>
      <c r="M28" s="299">
        <f t="shared" si="7"/>
        <v>210459.33</v>
      </c>
      <c r="N28" s="299">
        <f>G28*J28</f>
        <v>0</v>
      </c>
      <c r="O28" s="299">
        <f>G28*K28</f>
        <v>0</v>
      </c>
      <c r="P28" s="302"/>
      <c r="Q28" s="311">
        <f>G28*L28</f>
        <v>0</v>
      </c>
      <c r="R28" s="311"/>
      <c r="S28" s="311"/>
      <c r="T28" s="299">
        <f>SUM(N28:Q28)</f>
        <v>0</v>
      </c>
      <c r="U28" s="299">
        <v>0</v>
      </c>
      <c r="V28" s="299">
        <f>U28</f>
        <v>0</v>
      </c>
    </row>
    <row r="29" spans="1:29" ht="50.25" customHeight="1">
      <c r="A29" s="229"/>
      <c r="B29" s="246" t="s">
        <v>287</v>
      </c>
      <c r="C29" s="403"/>
      <c r="D29" s="295" t="s">
        <v>20</v>
      </c>
      <c r="E29" s="302">
        <v>30</v>
      </c>
      <c r="F29" s="302">
        <v>30</v>
      </c>
      <c r="G29" s="302">
        <v>28</v>
      </c>
      <c r="H29" s="302">
        <v>30</v>
      </c>
      <c r="I29" s="302">
        <v>30</v>
      </c>
      <c r="J29" s="299">
        <f>151319.69*1.00524751162</f>
        <v>152113.74183160978</v>
      </c>
      <c r="K29" s="299">
        <f t="shared" si="11"/>
        <v>12142.68</v>
      </c>
      <c r="L29" s="311">
        <v>46996.959999999999</v>
      </c>
      <c r="M29" s="299">
        <f t="shared" si="7"/>
        <v>211253.38183160976</v>
      </c>
      <c r="N29" s="299">
        <f>G29*J29</f>
        <v>4259184.7712850738</v>
      </c>
      <c r="O29" s="299">
        <f>G29*K29</f>
        <v>339995.04000000004</v>
      </c>
      <c r="P29" s="302"/>
      <c r="Q29" s="311">
        <f>G29*L29</f>
        <v>1315914.8799999999</v>
      </c>
      <c r="R29" s="311"/>
      <c r="S29" s="311"/>
      <c r="T29" s="299">
        <f>SUM(N29:Q29)</f>
        <v>5915094.6912850738</v>
      </c>
      <c r="U29" s="299">
        <f>T29</f>
        <v>5915094.6912850738</v>
      </c>
      <c r="V29" s="299">
        <f>U29</f>
        <v>5915094.6912850738</v>
      </c>
    </row>
    <row r="30" spans="1:29" ht="105.75" customHeight="1">
      <c r="A30" s="229"/>
      <c r="B30" s="229" t="s">
        <v>272</v>
      </c>
      <c r="C30" s="229" t="s">
        <v>271</v>
      </c>
      <c r="D30" s="295" t="s">
        <v>20</v>
      </c>
      <c r="E30" s="302">
        <v>53</v>
      </c>
      <c r="F30" s="302">
        <v>53</v>
      </c>
      <c r="G30" s="302">
        <v>60</v>
      </c>
      <c r="H30" s="302">
        <v>53</v>
      </c>
      <c r="I30" s="302">
        <v>53</v>
      </c>
      <c r="J30" s="303">
        <f>69653.86*1.00524751162</f>
        <v>70019.369439727845</v>
      </c>
      <c r="K30" s="299">
        <f t="shared" si="11"/>
        <v>12142.68</v>
      </c>
      <c r="L30" s="311">
        <v>46996.959999999999</v>
      </c>
      <c r="M30" s="299">
        <f t="shared" si="7"/>
        <v>129159.00943972784</v>
      </c>
      <c r="N30" s="299">
        <f>G30*J30</f>
        <v>4201162.1663836706</v>
      </c>
      <c r="O30" s="299">
        <f>G30*K30</f>
        <v>728560.8</v>
      </c>
      <c r="P30" s="302"/>
      <c r="Q30" s="311">
        <f>G30*L30</f>
        <v>2819817.6</v>
      </c>
      <c r="R30" s="311"/>
      <c r="S30" s="311"/>
      <c r="T30" s="299">
        <f>SUM(N30:Q30)</f>
        <v>7749540.566383671</v>
      </c>
      <c r="U30" s="299">
        <f>T30</f>
        <v>7749540.566383671</v>
      </c>
      <c r="V30" s="299">
        <f>U30</f>
        <v>7749540.566383671</v>
      </c>
    </row>
    <row r="31" spans="1:29" ht="18.75" hidden="1" customHeight="1">
      <c r="A31" s="229"/>
      <c r="B31" s="241"/>
      <c r="C31" s="246" t="s">
        <v>226</v>
      </c>
      <c r="D31" s="295"/>
      <c r="E31" s="302"/>
      <c r="F31" s="302"/>
      <c r="G31" s="302">
        <f t="shared" si="10"/>
        <v>0</v>
      </c>
      <c r="H31" s="302"/>
      <c r="I31" s="302"/>
      <c r="J31" s="299"/>
      <c r="K31" s="299">
        <f t="shared" ref="K31:K63" si="12">(12142.68*2.133649)</f>
        <v>25908.217039320003</v>
      </c>
      <c r="L31" s="311">
        <v>46996.959999999999</v>
      </c>
      <c r="M31" s="299">
        <f t="shared" si="7"/>
        <v>72905.177039319999</v>
      </c>
      <c r="N31" s="302"/>
      <c r="O31" s="299"/>
      <c r="P31" s="302"/>
      <c r="Q31" s="311"/>
      <c r="R31" s="311"/>
      <c r="S31" s="311"/>
      <c r="T31" s="299">
        <f>N31</f>
        <v>0</v>
      </c>
      <c r="U31" s="299">
        <f t="shared" ref="U31:V33" si="13">T31</f>
        <v>0</v>
      </c>
      <c r="V31" s="299">
        <f t="shared" si="13"/>
        <v>0</v>
      </c>
    </row>
    <row r="32" spans="1:29" ht="20.25" hidden="1" customHeight="1">
      <c r="A32" s="229"/>
      <c r="B32" s="241"/>
      <c r="C32" s="246"/>
      <c r="D32" s="295"/>
      <c r="E32" s="302"/>
      <c r="F32" s="302"/>
      <c r="G32" s="302">
        <f t="shared" si="10"/>
        <v>0</v>
      </c>
      <c r="H32" s="302"/>
      <c r="I32" s="302"/>
      <c r="J32" s="299"/>
      <c r="K32" s="299">
        <f t="shared" si="12"/>
        <v>25908.217039320003</v>
      </c>
      <c r="L32" s="311">
        <v>46996.959999999999</v>
      </c>
      <c r="M32" s="299">
        <f t="shared" si="7"/>
        <v>72905.177039319999</v>
      </c>
      <c r="N32" s="302"/>
      <c r="O32" s="299"/>
      <c r="P32" s="302"/>
      <c r="Q32" s="311"/>
      <c r="R32" s="311"/>
      <c r="S32" s="311"/>
      <c r="T32" s="299">
        <f>O32</f>
        <v>0</v>
      </c>
      <c r="U32" s="299">
        <f t="shared" si="13"/>
        <v>0</v>
      </c>
      <c r="V32" s="299">
        <f t="shared" si="13"/>
        <v>0</v>
      </c>
    </row>
    <row r="33" spans="1:29" ht="59.4" customHeight="1">
      <c r="A33" s="229" t="s">
        <v>247</v>
      </c>
      <c r="B33" s="246" t="s">
        <v>304</v>
      </c>
      <c r="C33" s="246" t="s">
        <v>219</v>
      </c>
      <c r="D33" s="295" t="s">
        <v>20</v>
      </c>
      <c r="E33" s="302">
        <f>E26+E27+E28+E29+E30</f>
        <v>102</v>
      </c>
      <c r="F33" s="302">
        <f>F26+F27+F28+F29+F30</f>
        <v>102</v>
      </c>
      <c r="G33" s="302">
        <f>G26+G27+G28+G29+G30</f>
        <v>102</v>
      </c>
      <c r="H33" s="302">
        <v>102</v>
      </c>
      <c r="I33" s="302">
        <v>102</v>
      </c>
      <c r="J33" s="299"/>
      <c r="K33" s="299"/>
      <c r="L33" s="311">
        <v>16842</v>
      </c>
      <c r="M33" s="299">
        <f t="shared" si="7"/>
        <v>16842</v>
      </c>
      <c r="N33" s="302">
        <f>E33*J33</f>
        <v>0</v>
      </c>
      <c r="O33" s="299"/>
      <c r="P33" s="302"/>
      <c r="Q33" s="311">
        <f>G33*L33</f>
        <v>1717884</v>
      </c>
      <c r="R33" s="311"/>
      <c r="S33" s="311"/>
      <c r="T33" s="299">
        <f>SUM(N33:Q33)</f>
        <v>1717884</v>
      </c>
      <c r="U33" s="299">
        <f t="shared" si="13"/>
        <v>1717884</v>
      </c>
      <c r="V33" s="299">
        <f t="shared" si="13"/>
        <v>1717884</v>
      </c>
    </row>
    <row r="34" spans="1:29" ht="24" customHeight="1">
      <c r="A34" s="246"/>
      <c r="B34" s="246" t="s">
        <v>304</v>
      </c>
      <c r="C34" s="246" t="s">
        <v>220</v>
      </c>
      <c r="D34" s="295"/>
      <c r="E34" s="302"/>
      <c r="F34" s="302"/>
      <c r="G34" s="302">
        <v>102</v>
      </c>
      <c r="H34" s="302">
        <v>102</v>
      </c>
      <c r="I34" s="302">
        <v>102</v>
      </c>
      <c r="J34" s="299"/>
      <c r="K34" s="299"/>
      <c r="L34" s="311">
        <v>21348</v>
      </c>
      <c r="M34" s="299">
        <f t="shared" si="7"/>
        <v>21348</v>
      </c>
      <c r="N34" s="302"/>
      <c r="O34" s="299"/>
      <c r="P34" s="302"/>
      <c r="Q34" s="311"/>
      <c r="R34" s="311"/>
      <c r="S34" s="311">
        <f>G34*L34</f>
        <v>2177496</v>
      </c>
      <c r="T34" s="299">
        <f>S34</f>
        <v>2177496</v>
      </c>
      <c r="U34" s="299">
        <f>S34</f>
        <v>2177496</v>
      </c>
      <c r="V34" s="299">
        <f>S34</f>
        <v>2177496</v>
      </c>
    </row>
    <row r="35" spans="1:29" ht="26.4" customHeight="1">
      <c r="A35" s="298" t="s">
        <v>40</v>
      </c>
      <c r="B35" s="298"/>
      <c r="C35" s="298"/>
      <c r="D35" s="304"/>
      <c r="E35" s="305"/>
      <c r="F35" s="305"/>
      <c r="G35" s="305"/>
      <c r="H35" s="305"/>
      <c r="I35" s="305"/>
      <c r="J35" s="301"/>
      <c r="K35" s="299"/>
      <c r="L35" s="313"/>
      <c r="M35" s="299">
        <f t="shared" si="7"/>
        <v>0</v>
      </c>
      <c r="N35" s="313">
        <f>N36+N44</f>
        <v>7234927.8399999999</v>
      </c>
      <c r="O35" s="313">
        <f>O36+O44</f>
        <v>1323552.1199999999</v>
      </c>
      <c r="P35" s="313"/>
      <c r="Q35" s="313">
        <f>Q36+Q44</f>
        <v>6958446.6400000006</v>
      </c>
      <c r="R35" s="313"/>
      <c r="S35" s="313">
        <f>S45</f>
        <v>2348280</v>
      </c>
      <c r="T35" s="313">
        <f>T36+T44+T45</f>
        <v>17865206.600000001</v>
      </c>
      <c r="U35" s="301">
        <f>U36+U44+U45</f>
        <v>17865206.600000001</v>
      </c>
      <c r="V35" s="301">
        <f>V36+V44+V45</f>
        <v>17865206.600000001</v>
      </c>
      <c r="W35" s="237">
        <v>6077312.0300000003</v>
      </c>
      <c r="X35" s="237">
        <f>W35-Q35</f>
        <v>-881134.61000000034</v>
      </c>
      <c r="Y35" s="225">
        <f>X35/G44</f>
        <v>-8083.8037614678933</v>
      </c>
      <c r="AA35" s="225">
        <v>5754388.0300000003</v>
      </c>
      <c r="AB35" s="237">
        <f>AA35-Q35</f>
        <v>-1204058.6100000003</v>
      </c>
      <c r="AC35" s="225">
        <f>AB35/I44</f>
        <v>-10945.987363636366</v>
      </c>
    </row>
    <row r="36" spans="1:29" ht="78.599999999999994" customHeight="1">
      <c r="A36" s="229" t="s">
        <v>246</v>
      </c>
      <c r="B36" s="241" t="s">
        <v>76</v>
      </c>
      <c r="C36" s="241"/>
      <c r="D36" s="295"/>
      <c r="E36" s="302"/>
      <c r="F36" s="302"/>
      <c r="G36" s="302"/>
      <c r="H36" s="302"/>
      <c r="I36" s="302"/>
      <c r="J36" s="299"/>
      <c r="K36" s="299"/>
      <c r="L36" s="311"/>
      <c r="M36" s="299">
        <f t="shared" si="7"/>
        <v>0</v>
      </c>
      <c r="N36" s="299">
        <f>SUM(N37:N45)</f>
        <v>7234927.8399999999</v>
      </c>
      <c r="O36" s="299">
        <f>SUM(O37:O45)</f>
        <v>1323552.1199999999</v>
      </c>
      <c r="P36" s="299"/>
      <c r="Q36" s="311">
        <f>SUM(Q37:Q39)</f>
        <v>5122668.6400000006</v>
      </c>
      <c r="R36" s="311"/>
      <c r="S36" s="311"/>
      <c r="T36" s="299">
        <f>SUM(T37:T43)</f>
        <v>13681148.6</v>
      </c>
      <c r="U36" s="299">
        <f>SUM(U37:U43)</f>
        <v>13681148.6</v>
      </c>
      <c r="V36" s="299">
        <f>SUM(V37:V43)</f>
        <v>13681148.6</v>
      </c>
      <c r="W36" s="237">
        <v>15224915.029999999</v>
      </c>
      <c r="AA36" s="237">
        <f>15224915.03+U45</f>
        <v>17573195.030000001</v>
      </c>
      <c r="AB36" s="237">
        <f>U35-AA36</f>
        <v>292011.5700000003</v>
      </c>
    </row>
    <row r="37" spans="1:29" ht="57.6" customHeight="1">
      <c r="A37" s="229"/>
      <c r="B37" s="246" t="s">
        <v>266</v>
      </c>
      <c r="C37" s="400" t="s">
        <v>269</v>
      </c>
      <c r="D37" s="295" t="s">
        <v>20</v>
      </c>
      <c r="E37" s="302">
        <v>21</v>
      </c>
      <c r="F37" s="302">
        <v>21</v>
      </c>
      <c r="G37" s="302">
        <v>15</v>
      </c>
      <c r="H37" s="302">
        <v>21</v>
      </c>
      <c r="I37" s="302">
        <v>21</v>
      </c>
      <c r="J37" s="299">
        <f>45831</f>
        <v>45831</v>
      </c>
      <c r="K37" s="299">
        <f>(12142.68)</f>
        <v>12142.68</v>
      </c>
      <c r="L37" s="311">
        <v>46996.959999999999</v>
      </c>
      <c r="M37" s="299">
        <f t="shared" si="7"/>
        <v>104970.64</v>
      </c>
      <c r="N37" s="299">
        <f>G37*J37</f>
        <v>687465</v>
      </c>
      <c r="O37" s="299">
        <f>(G37*K37)</f>
        <v>182140.2</v>
      </c>
      <c r="P37" s="302"/>
      <c r="Q37" s="311">
        <f>G37*L37</f>
        <v>704954.4</v>
      </c>
      <c r="R37" s="311"/>
      <c r="S37" s="311"/>
      <c r="T37" s="299">
        <f>SUM(N37:Q37)</f>
        <v>1574559.6</v>
      </c>
      <c r="U37" s="299">
        <f t="shared" ref="U37:V39" si="14">T37</f>
        <v>1574559.6</v>
      </c>
      <c r="V37" s="299">
        <f t="shared" si="14"/>
        <v>1574559.6</v>
      </c>
      <c r="X37" s="237">
        <f>W36-U35</f>
        <v>-2640291.5700000022</v>
      </c>
    </row>
    <row r="38" spans="1:29" ht="40.950000000000003" customHeight="1">
      <c r="A38" s="246"/>
      <c r="B38" s="246" t="s">
        <v>264</v>
      </c>
      <c r="C38" s="402"/>
      <c r="D38" s="295" t="s">
        <v>20</v>
      </c>
      <c r="E38" s="302">
        <v>19</v>
      </c>
      <c r="F38" s="302">
        <v>19</v>
      </c>
      <c r="G38" s="302"/>
      <c r="H38" s="302">
        <v>19</v>
      </c>
      <c r="I38" s="302">
        <v>19</v>
      </c>
      <c r="J38" s="299">
        <v>36323.51</v>
      </c>
      <c r="K38" s="299">
        <f>(12142.68)</f>
        <v>12142.68</v>
      </c>
      <c r="L38" s="311">
        <v>46996.959999999999</v>
      </c>
      <c r="M38" s="299">
        <f t="shared" si="7"/>
        <v>95463.15</v>
      </c>
      <c r="N38" s="299">
        <f>G38*J38</f>
        <v>0</v>
      </c>
      <c r="O38" s="299">
        <f>G38*K38</f>
        <v>0</v>
      </c>
      <c r="P38" s="302"/>
      <c r="Q38" s="311">
        <f>G38*L38</f>
        <v>0</v>
      </c>
      <c r="R38" s="311"/>
      <c r="S38" s="311"/>
      <c r="T38" s="299">
        <f>SUM(N38:Q38)</f>
        <v>0</v>
      </c>
      <c r="U38" s="299">
        <f t="shared" si="14"/>
        <v>0</v>
      </c>
      <c r="V38" s="299">
        <f t="shared" si="14"/>
        <v>0</v>
      </c>
    </row>
    <row r="39" spans="1:29" ht="110.4">
      <c r="A39" s="246"/>
      <c r="B39" s="246" t="s">
        <v>264</v>
      </c>
      <c r="C39" s="229" t="s">
        <v>268</v>
      </c>
      <c r="D39" s="295" t="s">
        <v>20</v>
      </c>
      <c r="E39" s="302">
        <v>70</v>
      </c>
      <c r="F39" s="302">
        <v>70</v>
      </c>
      <c r="G39" s="302">
        <v>94</v>
      </c>
      <c r="H39" s="302">
        <v>70</v>
      </c>
      <c r="I39" s="302">
        <v>70</v>
      </c>
      <c r="J39" s="303">
        <v>69653.86</v>
      </c>
      <c r="K39" s="299">
        <f>(12142.68)</f>
        <v>12142.68</v>
      </c>
      <c r="L39" s="311">
        <v>46996.959999999999</v>
      </c>
      <c r="M39" s="299">
        <f t="shared" si="7"/>
        <v>128793.5</v>
      </c>
      <c r="N39" s="299">
        <f>G39*J39</f>
        <v>6547462.8399999999</v>
      </c>
      <c r="O39" s="299">
        <f>G39*K39</f>
        <v>1141411.92</v>
      </c>
      <c r="P39" s="302"/>
      <c r="Q39" s="311">
        <f>G39*L39</f>
        <v>4417714.24</v>
      </c>
      <c r="R39" s="311"/>
      <c r="S39" s="311"/>
      <c r="T39" s="299">
        <f>SUM(N39:Q39)</f>
        <v>12106589</v>
      </c>
      <c r="U39" s="299">
        <f t="shared" si="14"/>
        <v>12106589</v>
      </c>
      <c r="V39" s="299">
        <f t="shared" si="14"/>
        <v>12106589</v>
      </c>
    </row>
    <row r="40" spans="1:29" s="226" customFormat="1" hidden="1">
      <c r="A40" s="295"/>
      <c r="B40" s="304" t="s">
        <v>258</v>
      </c>
      <c r="C40" s="295" t="s">
        <v>226</v>
      </c>
      <c r="D40" s="295"/>
      <c r="E40" s="302"/>
      <c r="F40" s="302"/>
      <c r="G40" s="302"/>
      <c r="H40" s="302"/>
      <c r="I40" s="302"/>
      <c r="J40" s="299"/>
      <c r="K40" s="299">
        <f t="shared" si="12"/>
        <v>25908.217039320003</v>
      </c>
      <c r="L40" s="311">
        <v>46996.959999999999</v>
      </c>
      <c r="M40" s="299">
        <f t="shared" si="7"/>
        <v>72905.177039319999</v>
      </c>
      <c r="N40" s="302"/>
      <c r="O40" s="299"/>
      <c r="P40" s="302"/>
      <c r="Q40" s="311"/>
      <c r="R40" s="311"/>
      <c r="S40" s="311"/>
      <c r="T40" s="299">
        <f>O40</f>
        <v>0</v>
      </c>
      <c r="U40" s="299">
        <f t="shared" ref="U40:V44" si="15">T40</f>
        <v>0</v>
      </c>
      <c r="V40" s="299">
        <f>U40</f>
        <v>0</v>
      </c>
    </row>
    <row r="41" spans="1:29" s="226" customFormat="1" hidden="1">
      <c r="A41" s="295"/>
      <c r="B41" s="304" t="s">
        <v>259</v>
      </c>
      <c r="C41" s="295" t="s">
        <v>226</v>
      </c>
      <c r="D41" s="295"/>
      <c r="E41" s="302"/>
      <c r="F41" s="302"/>
      <c r="G41" s="302"/>
      <c r="H41" s="302"/>
      <c r="I41" s="302"/>
      <c r="J41" s="299"/>
      <c r="K41" s="299">
        <f t="shared" si="12"/>
        <v>25908.217039320003</v>
      </c>
      <c r="L41" s="311">
        <v>46996.959999999999</v>
      </c>
      <c r="M41" s="299">
        <f t="shared" si="7"/>
        <v>72905.177039319999</v>
      </c>
      <c r="N41" s="302"/>
      <c r="O41" s="299"/>
      <c r="P41" s="302"/>
      <c r="Q41" s="311"/>
      <c r="R41" s="311"/>
      <c r="S41" s="311"/>
      <c r="T41" s="299">
        <f>N41</f>
        <v>0</v>
      </c>
      <c r="U41" s="299">
        <f t="shared" si="15"/>
        <v>0</v>
      </c>
      <c r="V41" s="299">
        <f t="shared" si="15"/>
        <v>0</v>
      </c>
    </row>
    <row r="42" spans="1:29" ht="45.75" hidden="1" customHeight="1">
      <c r="A42" s="246"/>
      <c r="B42" s="241" t="s">
        <v>253</v>
      </c>
      <c r="C42" s="246" t="s">
        <v>226</v>
      </c>
      <c r="D42" s="295"/>
      <c r="E42" s="302"/>
      <c r="F42" s="302"/>
      <c r="G42" s="302"/>
      <c r="H42" s="302"/>
      <c r="I42" s="302"/>
      <c r="J42" s="299"/>
      <c r="K42" s="299">
        <f t="shared" si="12"/>
        <v>25908.217039320003</v>
      </c>
      <c r="L42" s="311">
        <v>46996.959999999999</v>
      </c>
      <c r="M42" s="299">
        <f t="shared" si="7"/>
        <v>72905.177039319999</v>
      </c>
      <c r="N42" s="302"/>
      <c r="O42" s="299"/>
      <c r="P42" s="302"/>
      <c r="Q42" s="311"/>
      <c r="R42" s="311"/>
      <c r="S42" s="311"/>
      <c r="T42" s="299">
        <f>N42</f>
        <v>0</v>
      </c>
      <c r="U42" s="299">
        <f t="shared" si="15"/>
        <v>0</v>
      </c>
      <c r="V42" s="299">
        <f t="shared" si="15"/>
        <v>0</v>
      </c>
    </row>
    <row r="43" spans="1:29" hidden="1">
      <c r="A43" s="246"/>
      <c r="B43" s="241" t="s">
        <v>256</v>
      </c>
      <c r="C43" s="246"/>
      <c r="D43" s="295"/>
      <c r="E43" s="302"/>
      <c r="F43" s="302"/>
      <c r="G43" s="302"/>
      <c r="H43" s="302"/>
      <c r="I43" s="302"/>
      <c r="J43" s="299"/>
      <c r="K43" s="299">
        <f t="shared" si="12"/>
        <v>25908.217039320003</v>
      </c>
      <c r="L43" s="311">
        <v>46996.959999999999</v>
      </c>
      <c r="M43" s="299">
        <f t="shared" si="7"/>
        <v>72905.177039319999</v>
      </c>
      <c r="N43" s="302"/>
      <c r="O43" s="299"/>
      <c r="P43" s="302"/>
      <c r="Q43" s="311"/>
      <c r="R43" s="311"/>
      <c r="S43" s="311"/>
      <c r="T43" s="299">
        <f>O43</f>
        <v>0</v>
      </c>
      <c r="U43" s="299">
        <f t="shared" si="15"/>
        <v>0</v>
      </c>
      <c r="V43" s="299">
        <f t="shared" si="15"/>
        <v>0</v>
      </c>
    </row>
    <row r="44" spans="1:29" ht="58.2" customHeight="1">
      <c r="A44" s="229" t="s">
        <v>247</v>
      </c>
      <c r="B44" s="246" t="s">
        <v>304</v>
      </c>
      <c r="C44" s="246" t="s">
        <v>219</v>
      </c>
      <c r="D44" s="295" t="s">
        <v>20</v>
      </c>
      <c r="E44" s="302">
        <f>E39+E38+E37</f>
        <v>110</v>
      </c>
      <c r="F44" s="302">
        <f>F39+F38+F37</f>
        <v>110</v>
      </c>
      <c r="G44" s="302">
        <f>G39+G38+G37</f>
        <v>109</v>
      </c>
      <c r="H44" s="302">
        <f>H39+H38+H37</f>
        <v>110</v>
      </c>
      <c r="I44" s="302">
        <f>I39+I38+I37</f>
        <v>110</v>
      </c>
      <c r="J44" s="299"/>
      <c r="K44" s="299"/>
      <c r="L44" s="311">
        <v>16842</v>
      </c>
      <c r="M44" s="299">
        <f t="shared" si="7"/>
        <v>16842</v>
      </c>
      <c r="N44" s="302">
        <f>G44*J44</f>
        <v>0</v>
      </c>
      <c r="O44" s="299">
        <f>G44*K44</f>
        <v>0</v>
      </c>
      <c r="P44" s="302"/>
      <c r="Q44" s="311">
        <f>G44*L44</f>
        <v>1835778</v>
      </c>
      <c r="R44" s="311"/>
      <c r="S44" s="311"/>
      <c r="T44" s="299">
        <f>SUM(N44:Q44)</f>
        <v>1835778</v>
      </c>
      <c r="U44" s="299">
        <f>T44</f>
        <v>1835778</v>
      </c>
      <c r="V44" s="299">
        <f t="shared" si="15"/>
        <v>1835778</v>
      </c>
    </row>
    <row r="45" spans="1:29">
      <c r="A45" s="246"/>
      <c r="B45" s="246" t="s">
        <v>304</v>
      </c>
      <c r="C45" s="246" t="s">
        <v>220</v>
      </c>
      <c r="D45" s="295"/>
      <c r="E45" s="302"/>
      <c r="F45" s="302"/>
      <c r="G45" s="302">
        <v>110</v>
      </c>
      <c r="H45" s="302">
        <v>110</v>
      </c>
      <c r="I45" s="302">
        <v>110</v>
      </c>
      <c r="J45" s="299"/>
      <c r="K45" s="299"/>
      <c r="L45" s="311">
        <v>21348</v>
      </c>
      <c r="M45" s="299">
        <f t="shared" si="7"/>
        <v>21348</v>
      </c>
      <c r="N45" s="302"/>
      <c r="O45" s="299"/>
      <c r="P45" s="302"/>
      <c r="Q45" s="311"/>
      <c r="R45" s="311"/>
      <c r="S45" s="311">
        <f>G45*L45</f>
        <v>2348280</v>
      </c>
      <c r="T45" s="299">
        <f>S45</f>
        <v>2348280</v>
      </c>
      <c r="U45" s="299">
        <f>S45</f>
        <v>2348280</v>
      </c>
      <c r="V45" s="299">
        <f>S45</f>
        <v>2348280</v>
      </c>
    </row>
    <row r="46" spans="1:29" ht="21.6" customHeight="1">
      <c r="A46" s="304" t="s">
        <v>44</v>
      </c>
      <c r="B46" s="298"/>
      <c r="C46" s="298"/>
      <c r="D46" s="304"/>
      <c r="E46" s="305"/>
      <c r="F46" s="305"/>
      <c r="G46" s="305"/>
      <c r="H46" s="305"/>
      <c r="I46" s="305"/>
      <c r="J46" s="301"/>
      <c r="K46" s="299"/>
      <c r="L46" s="313"/>
      <c r="M46" s="299">
        <f t="shared" si="7"/>
        <v>0</v>
      </c>
      <c r="N46" s="313">
        <f>N47+N55</f>
        <v>13277296.360000001</v>
      </c>
      <c r="O46" s="313">
        <f>O47+O55</f>
        <v>2270681.16</v>
      </c>
      <c r="P46" s="313"/>
      <c r="Q46" s="313">
        <f>Q47+Q55</f>
        <v>11937885.52</v>
      </c>
      <c r="R46" s="313"/>
      <c r="S46" s="313">
        <f>S56</f>
        <v>4077468</v>
      </c>
      <c r="T46" s="313">
        <f>T47+T55+T56</f>
        <v>31563331.039999999</v>
      </c>
      <c r="U46" s="301">
        <f>U47+U55+U56</f>
        <v>31563331.039999999</v>
      </c>
      <c r="V46" s="301">
        <f>V47+V55+V56</f>
        <v>31563331.039999999</v>
      </c>
      <c r="W46" s="249">
        <v>10231531.529999999</v>
      </c>
      <c r="X46" s="237">
        <f>W46-Q46</f>
        <v>-1706353.9900000002</v>
      </c>
      <c r="Y46" s="225">
        <f>X46/G55</f>
        <v>-9124.8876470588239</v>
      </c>
      <c r="AA46" s="225">
        <v>10354392.529999999</v>
      </c>
      <c r="AB46" s="237">
        <f>AA46-Q46</f>
        <v>-1583492.9900000002</v>
      </c>
      <c r="AC46" s="225">
        <f>AB46/I55</f>
        <v>-8290.5392146596878</v>
      </c>
    </row>
    <row r="47" spans="1:29" ht="78.599999999999994" customHeight="1">
      <c r="A47" s="229" t="s">
        <v>246</v>
      </c>
      <c r="B47" s="241" t="s">
        <v>76</v>
      </c>
      <c r="C47" s="241"/>
      <c r="D47" s="295"/>
      <c r="E47" s="302"/>
      <c r="F47" s="302"/>
      <c r="G47" s="302"/>
      <c r="H47" s="302"/>
      <c r="I47" s="302"/>
      <c r="J47" s="299"/>
      <c r="K47" s="299"/>
      <c r="L47" s="311"/>
      <c r="M47" s="299">
        <f t="shared" si="7"/>
        <v>0</v>
      </c>
      <c r="N47" s="299">
        <f>SUM(N48:N56)</f>
        <v>13277296.360000001</v>
      </c>
      <c r="O47" s="299">
        <f>SUM(O48:O56)</f>
        <v>2270681.16</v>
      </c>
      <c r="P47" s="302"/>
      <c r="Q47" s="311">
        <f>SUM(Q48:Q51)</f>
        <v>8788431.5199999996</v>
      </c>
      <c r="R47" s="311"/>
      <c r="S47" s="311"/>
      <c r="T47" s="299">
        <f>SUM(T48:T54)</f>
        <v>24336409.039999999</v>
      </c>
      <c r="U47" s="299">
        <f>SUM(U48:U54)</f>
        <v>24336409.039999999</v>
      </c>
      <c r="V47" s="299">
        <f>SUM(V48:V54)</f>
        <v>24336409.039999999</v>
      </c>
      <c r="W47" s="237">
        <v>29143419.530000001</v>
      </c>
      <c r="X47" s="237"/>
      <c r="AA47" s="237">
        <f>29143419.53+U56</f>
        <v>33220887.530000001</v>
      </c>
      <c r="AB47" s="237">
        <f>U46-AA47</f>
        <v>-1657556.4900000021</v>
      </c>
    </row>
    <row r="48" spans="1:29" ht="51.75" customHeight="1">
      <c r="A48" s="229"/>
      <c r="B48" s="246" t="s">
        <v>266</v>
      </c>
      <c r="C48" s="400" t="s">
        <v>273</v>
      </c>
      <c r="D48" s="295" t="s">
        <v>20</v>
      </c>
      <c r="E48" s="302">
        <v>40</v>
      </c>
      <c r="F48" s="302">
        <v>40</v>
      </c>
      <c r="G48" s="302">
        <v>20</v>
      </c>
      <c r="H48" s="302">
        <v>40</v>
      </c>
      <c r="I48" s="302">
        <v>40</v>
      </c>
      <c r="J48" s="299">
        <f>45831</f>
        <v>45831</v>
      </c>
      <c r="K48" s="299">
        <f>(12142.68)</f>
        <v>12142.68</v>
      </c>
      <c r="L48" s="311">
        <v>46996.959999999999</v>
      </c>
      <c r="M48" s="299">
        <f t="shared" si="7"/>
        <v>104970.64</v>
      </c>
      <c r="N48" s="299">
        <f>G48*J48</f>
        <v>916620</v>
      </c>
      <c r="O48" s="299">
        <f>G48*K48</f>
        <v>242853.6</v>
      </c>
      <c r="P48" s="302"/>
      <c r="Q48" s="311">
        <f>G48*L48</f>
        <v>939939.2</v>
      </c>
      <c r="R48" s="311"/>
      <c r="S48" s="311"/>
      <c r="T48" s="299">
        <f>SUM(N48:Q48)</f>
        <v>2099412.7999999998</v>
      </c>
      <c r="U48" s="299">
        <f t="shared" ref="U48:V52" si="16">T48</f>
        <v>2099412.7999999998</v>
      </c>
      <c r="V48" s="299">
        <f t="shared" si="16"/>
        <v>2099412.7999999998</v>
      </c>
      <c r="X48" s="237">
        <f>W47-U46</f>
        <v>-2419911.5099999979</v>
      </c>
    </row>
    <row r="49" spans="1:28" ht="51" customHeight="1">
      <c r="A49" s="246"/>
      <c r="B49" s="246" t="s">
        <v>264</v>
      </c>
      <c r="C49" s="402"/>
      <c r="D49" s="295" t="s">
        <v>20</v>
      </c>
      <c r="E49" s="302">
        <v>60</v>
      </c>
      <c r="F49" s="302">
        <v>60</v>
      </c>
      <c r="G49" s="302">
        <v>59</v>
      </c>
      <c r="H49" s="302">
        <v>60</v>
      </c>
      <c r="I49" s="302">
        <v>60</v>
      </c>
      <c r="J49" s="299">
        <v>36323.51</v>
      </c>
      <c r="K49" s="299">
        <f t="shared" ref="K49:K51" si="17">(12142.68)</f>
        <v>12142.68</v>
      </c>
      <c r="L49" s="311">
        <v>46996.959999999999</v>
      </c>
      <c r="M49" s="299">
        <f t="shared" si="7"/>
        <v>95463.15</v>
      </c>
      <c r="N49" s="299">
        <f>G49*J49</f>
        <v>2143087.0900000003</v>
      </c>
      <c r="O49" s="299">
        <f>G49*K49</f>
        <v>716418.12</v>
      </c>
      <c r="P49" s="302"/>
      <c r="Q49" s="311">
        <f>G49*L49</f>
        <v>2772820.64</v>
      </c>
      <c r="R49" s="311"/>
      <c r="S49" s="311"/>
      <c r="T49" s="299">
        <f>SUM(N49:Q49)</f>
        <v>5632325.8500000006</v>
      </c>
      <c r="U49" s="299">
        <f t="shared" si="16"/>
        <v>5632325.8500000006</v>
      </c>
      <c r="V49" s="299">
        <f t="shared" si="16"/>
        <v>5632325.8500000006</v>
      </c>
    </row>
    <row r="50" spans="1:28" ht="96.6">
      <c r="A50" s="229"/>
      <c r="B50" s="246" t="s">
        <v>287</v>
      </c>
      <c r="C50" s="229" t="s">
        <v>274</v>
      </c>
      <c r="D50" s="295" t="s">
        <v>20</v>
      </c>
      <c r="E50" s="302">
        <v>37</v>
      </c>
      <c r="F50" s="302">
        <v>37</v>
      </c>
      <c r="G50" s="302">
        <v>33</v>
      </c>
      <c r="H50" s="302">
        <v>37</v>
      </c>
      <c r="I50" s="302">
        <v>37</v>
      </c>
      <c r="J50" s="299">
        <v>151319.69</v>
      </c>
      <c r="K50" s="299">
        <f t="shared" si="17"/>
        <v>12142.68</v>
      </c>
      <c r="L50" s="311">
        <v>46996.959999999999</v>
      </c>
      <c r="M50" s="299">
        <f t="shared" si="7"/>
        <v>210459.33</v>
      </c>
      <c r="N50" s="299">
        <f>G50*J50</f>
        <v>4993549.7700000005</v>
      </c>
      <c r="O50" s="299">
        <f>G50*K50</f>
        <v>400708.44</v>
      </c>
      <c r="P50" s="302"/>
      <c r="Q50" s="311">
        <f>G50*L50</f>
        <v>1550899.68</v>
      </c>
      <c r="R50" s="311"/>
      <c r="S50" s="311"/>
      <c r="T50" s="299">
        <f>SUM(N50:Q50)</f>
        <v>6945157.8900000006</v>
      </c>
      <c r="U50" s="299">
        <f t="shared" si="16"/>
        <v>6945157.8900000006</v>
      </c>
      <c r="V50" s="299">
        <f t="shared" si="16"/>
        <v>6945157.8900000006</v>
      </c>
    </row>
    <row r="51" spans="1:28" ht="110.4">
      <c r="A51" s="229"/>
      <c r="B51" s="246" t="s">
        <v>262</v>
      </c>
      <c r="C51" s="229" t="s">
        <v>275</v>
      </c>
      <c r="D51" s="295" t="s">
        <v>20</v>
      </c>
      <c r="E51" s="302">
        <v>54</v>
      </c>
      <c r="F51" s="302">
        <v>54</v>
      </c>
      <c r="G51" s="302">
        <v>75</v>
      </c>
      <c r="H51" s="302">
        <v>54</v>
      </c>
      <c r="I51" s="302">
        <v>54</v>
      </c>
      <c r="J51" s="303">
        <v>69653.86</v>
      </c>
      <c r="K51" s="299">
        <f t="shared" si="17"/>
        <v>12142.68</v>
      </c>
      <c r="L51" s="311">
        <v>46996.959999999999</v>
      </c>
      <c r="M51" s="299">
        <f t="shared" si="7"/>
        <v>128793.5</v>
      </c>
      <c r="N51" s="299">
        <f>G51*J51</f>
        <v>5224039.5</v>
      </c>
      <c r="O51" s="299">
        <f>G51*K51</f>
        <v>910701</v>
      </c>
      <c r="P51" s="302"/>
      <c r="Q51" s="311">
        <f>G51*L51</f>
        <v>3524772</v>
      </c>
      <c r="R51" s="311"/>
      <c r="S51" s="311"/>
      <c r="T51" s="299">
        <f>SUM(N51:Q51)</f>
        <v>9659512.5</v>
      </c>
      <c r="U51" s="299">
        <f t="shared" si="16"/>
        <v>9659512.5</v>
      </c>
      <c r="V51" s="299">
        <f t="shared" si="16"/>
        <v>9659512.5</v>
      </c>
    </row>
    <row r="52" spans="1:28" s="226" customFormat="1" hidden="1">
      <c r="A52" s="295"/>
      <c r="B52" s="304"/>
      <c r="C52" s="295" t="s">
        <v>226</v>
      </c>
      <c r="D52" s="295"/>
      <c r="E52" s="302"/>
      <c r="F52" s="302"/>
      <c r="G52" s="302"/>
      <c r="H52" s="302"/>
      <c r="I52" s="302"/>
      <c r="J52" s="299"/>
      <c r="K52" s="299">
        <f t="shared" si="12"/>
        <v>25908.217039320003</v>
      </c>
      <c r="L52" s="311"/>
      <c r="M52" s="299">
        <f t="shared" si="7"/>
        <v>25908.217039320003</v>
      </c>
      <c r="N52" s="302"/>
      <c r="O52" s="299"/>
      <c r="P52" s="302"/>
      <c r="Q52" s="311"/>
      <c r="R52" s="311"/>
      <c r="S52" s="311"/>
      <c r="T52" s="299">
        <f>O52</f>
        <v>0</v>
      </c>
      <c r="U52" s="299">
        <f t="shared" si="16"/>
        <v>0</v>
      </c>
      <c r="V52" s="299">
        <f t="shared" si="16"/>
        <v>0</v>
      </c>
    </row>
    <row r="53" spans="1:28" ht="20.25" hidden="1" customHeight="1">
      <c r="A53" s="229"/>
      <c r="B53" s="241"/>
      <c r="C53" s="246" t="s">
        <v>226</v>
      </c>
      <c r="D53" s="295"/>
      <c r="E53" s="302"/>
      <c r="F53" s="302"/>
      <c r="G53" s="302"/>
      <c r="H53" s="302"/>
      <c r="I53" s="302"/>
      <c r="J53" s="299"/>
      <c r="K53" s="299">
        <f t="shared" si="12"/>
        <v>25908.217039320003</v>
      </c>
      <c r="L53" s="311"/>
      <c r="M53" s="299">
        <f t="shared" si="7"/>
        <v>25908.217039320003</v>
      </c>
      <c r="N53" s="302"/>
      <c r="O53" s="299"/>
      <c r="P53" s="302"/>
      <c r="Q53" s="311"/>
      <c r="R53" s="311"/>
      <c r="S53" s="311"/>
      <c r="T53" s="299">
        <f>N53</f>
        <v>0</v>
      </c>
      <c r="U53" s="299">
        <f t="shared" ref="U53:V55" si="18">T53</f>
        <v>0</v>
      </c>
      <c r="V53" s="299">
        <f t="shared" si="18"/>
        <v>0</v>
      </c>
    </row>
    <row r="54" spans="1:28" hidden="1">
      <c r="A54" s="229"/>
      <c r="B54" s="241"/>
      <c r="C54" s="246"/>
      <c r="D54" s="295"/>
      <c r="E54" s="302"/>
      <c r="F54" s="302"/>
      <c r="G54" s="302"/>
      <c r="H54" s="302"/>
      <c r="I54" s="302"/>
      <c r="J54" s="299"/>
      <c r="K54" s="299">
        <f t="shared" si="12"/>
        <v>25908.217039320003</v>
      </c>
      <c r="L54" s="311"/>
      <c r="M54" s="299">
        <f t="shared" si="7"/>
        <v>25908.217039320003</v>
      </c>
      <c r="N54" s="302"/>
      <c r="O54" s="299"/>
      <c r="P54" s="302"/>
      <c r="Q54" s="311"/>
      <c r="R54" s="311"/>
      <c r="S54" s="311"/>
      <c r="T54" s="299">
        <f>O54</f>
        <v>0</v>
      </c>
      <c r="U54" s="299">
        <f t="shared" si="18"/>
        <v>0</v>
      </c>
      <c r="V54" s="299">
        <f t="shared" si="18"/>
        <v>0</v>
      </c>
    </row>
    <row r="55" spans="1:28" ht="58.5" customHeight="1">
      <c r="A55" s="229" t="s">
        <v>247</v>
      </c>
      <c r="B55" s="246" t="s">
        <v>28</v>
      </c>
      <c r="C55" s="246" t="s">
        <v>219</v>
      </c>
      <c r="D55" s="295" t="s">
        <v>20</v>
      </c>
      <c r="E55" s="302">
        <f>E51+E50+E49+E48</f>
        <v>191</v>
      </c>
      <c r="F55" s="302">
        <f>F51+F50+F49+F48</f>
        <v>191</v>
      </c>
      <c r="G55" s="302">
        <f>G51+G50+G49+G48</f>
        <v>187</v>
      </c>
      <c r="H55" s="302">
        <v>191</v>
      </c>
      <c r="I55" s="302">
        <v>191</v>
      </c>
      <c r="J55" s="299"/>
      <c r="K55" s="299"/>
      <c r="L55" s="311">
        <v>16842</v>
      </c>
      <c r="M55" s="299">
        <f t="shared" si="7"/>
        <v>16842</v>
      </c>
      <c r="N55" s="302">
        <f>G55*J55</f>
        <v>0</v>
      </c>
      <c r="O55" s="299">
        <f>G55*K55</f>
        <v>0</v>
      </c>
      <c r="P55" s="302"/>
      <c r="Q55" s="311">
        <f>G55*L55</f>
        <v>3149454</v>
      </c>
      <c r="R55" s="311"/>
      <c r="S55" s="311"/>
      <c r="T55" s="299">
        <f>SUM(N55:Q55)</f>
        <v>3149454</v>
      </c>
      <c r="U55" s="299">
        <f t="shared" si="18"/>
        <v>3149454</v>
      </c>
      <c r="V55" s="299">
        <f t="shared" si="18"/>
        <v>3149454</v>
      </c>
    </row>
    <row r="56" spans="1:28" ht="18.600000000000001" customHeight="1">
      <c r="A56" s="246"/>
      <c r="B56" s="246" t="s">
        <v>28</v>
      </c>
      <c r="C56" s="246" t="s">
        <v>220</v>
      </c>
      <c r="D56" s="295"/>
      <c r="E56" s="302"/>
      <c r="F56" s="302"/>
      <c r="G56" s="302">
        <v>191</v>
      </c>
      <c r="H56" s="302">
        <v>191</v>
      </c>
      <c r="I56" s="302">
        <v>191</v>
      </c>
      <c r="J56" s="299"/>
      <c r="K56" s="299"/>
      <c r="L56" s="311">
        <v>21348</v>
      </c>
      <c r="M56" s="299">
        <f t="shared" si="7"/>
        <v>21348</v>
      </c>
      <c r="N56" s="302"/>
      <c r="O56" s="299"/>
      <c r="P56" s="302"/>
      <c r="Q56" s="311"/>
      <c r="R56" s="311"/>
      <c r="S56" s="311">
        <f>G56*L56</f>
        <v>4077468</v>
      </c>
      <c r="T56" s="299">
        <f>S56</f>
        <v>4077468</v>
      </c>
      <c r="U56" s="299">
        <f>S56</f>
        <v>4077468</v>
      </c>
      <c r="V56" s="299">
        <f>S56</f>
        <v>4077468</v>
      </c>
    </row>
    <row r="57" spans="1:28" ht="24" customHeight="1">
      <c r="A57" s="298" t="s">
        <v>49</v>
      </c>
      <c r="B57" s="298"/>
      <c r="C57" s="298"/>
      <c r="D57" s="304"/>
      <c r="E57" s="305"/>
      <c r="F57" s="305"/>
      <c r="G57" s="305"/>
      <c r="H57" s="305"/>
      <c r="I57" s="305"/>
      <c r="J57" s="301"/>
      <c r="K57" s="299"/>
      <c r="L57" s="313"/>
      <c r="M57" s="299">
        <f t="shared" si="7"/>
        <v>0</v>
      </c>
      <c r="N57" s="313">
        <f>N58+N64</f>
        <v>6194948.4707433209</v>
      </c>
      <c r="O57" s="313">
        <f>O58+O64</f>
        <v>1274981.3999999999</v>
      </c>
      <c r="P57" s="318">
        <f>P58</f>
        <v>0</v>
      </c>
      <c r="Q57" s="313">
        <f>Q58+Q64</f>
        <v>6703090.7999999998</v>
      </c>
      <c r="R57" s="313">
        <f>R58</f>
        <v>0</v>
      </c>
      <c r="S57" s="313">
        <f>S65</f>
        <v>2241540</v>
      </c>
      <c r="T57" s="313">
        <f>T58+T64+T65</f>
        <v>16414560.67074332</v>
      </c>
      <c r="U57" s="313">
        <f t="shared" ref="U57:V57" si="19">U58+U64+U65</f>
        <v>16414560.67074332</v>
      </c>
      <c r="V57" s="313">
        <f t="shared" si="19"/>
        <v>16414560.67074332</v>
      </c>
      <c r="W57" s="225">
        <v>5581141.5300000003</v>
      </c>
      <c r="X57" s="237">
        <f>W57-Q57</f>
        <v>-1121949.2699999996</v>
      </c>
      <c r="Y57" s="225">
        <f>X57/G64</f>
        <v>-10685.231142857139</v>
      </c>
      <c r="AA57" s="225">
        <v>5552393.5300000003</v>
      </c>
      <c r="AB57" s="237">
        <f>AA57-Q57</f>
        <v>-1150697.2699999996</v>
      </c>
    </row>
    <row r="58" spans="1:28" ht="81" customHeight="1">
      <c r="A58" s="229" t="s">
        <v>246</v>
      </c>
      <c r="B58" s="241" t="s">
        <v>76</v>
      </c>
      <c r="C58" s="241"/>
      <c r="D58" s="295"/>
      <c r="E58" s="302"/>
      <c r="F58" s="302"/>
      <c r="G58" s="302"/>
      <c r="H58" s="302"/>
      <c r="I58" s="302"/>
      <c r="J58" s="299"/>
      <c r="K58" s="299"/>
      <c r="L58" s="311"/>
      <c r="M58" s="299">
        <f t="shared" si="7"/>
        <v>0</v>
      </c>
      <c r="N58" s="299">
        <f>SUM(N59:N65)</f>
        <v>6194948.4707433209</v>
      </c>
      <c r="O58" s="299">
        <f>SUM(O59:O65)</f>
        <v>1274981.3999999999</v>
      </c>
      <c r="P58" s="306"/>
      <c r="Q58" s="311">
        <f>SUM(Q59:Q61)</f>
        <v>4934680.8</v>
      </c>
      <c r="R58" s="311"/>
      <c r="S58" s="311"/>
      <c r="T58" s="299">
        <f>SUM(T59:T63)</f>
        <v>12404610.67074332</v>
      </c>
      <c r="U58" s="299">
        <f>SUM(U59:U63)</f>
        <v>12404610.67074332</v>
      </c>
      <c r="V58" s="299">
        <f>SUM(V59:V63)</f>
        <v>12404610.67074332</v>
      </c>
      <c r="W58" s="237">
        <v>14544322.529999999</v>
      </c>
      <c r="AA58" s="237">
        <f>14544322.53+U65</f>
        <v>16785862.530000001</v>
      </c>
      <c r="AB58" s="237">
        <f>U57-AA58</f>
        <v>-371301.85925668105</v>
      </c>
    </row>
    <row r="59" spans="1:28" ht="51" customHeight="1">
      <c r="A59" s="229"/>
      <c r="B59" s="246" t="s">
        <v>276</v>
      </c>
      <c r="C59" s="400" t="s">
        <v>273</v>
      </c>
      <c r="D59" s="295" t="s">
        <v>20</v>
      </c>
      <c r="E59" s="302">
        <v>21</v>
      </c>
      <c r="F59" s="302">
        <v>21</v>
      </c>
      <c r="G59" s="302">
        <v>18</v>
      </c>
      <c r="H59" s="302">
        <v>21</v>
      </c>
      <c r="I59" s="302">
        <v>21</v>
      </c>
      <c r="J59" s="299">
        <f>45831*1.00162363017</f>
        <v>45905.412594321264</v>
      </c>
      <c r="K59" s="299">
        <f>(12142.68)</f>
        <v>12142.68</v>
      </c>
      <c r="L59" s="311">
        <v>46996.959999999999</v>
      </c>
      <c r="M59" s="299">
        <f t="shared" si="7"/>
        <v>105045.05259432126</v>
      </c>
      <c r="N59" s="299">
        <f>G59*J59</f>
        <v>826297.42669778271</v>
      </c>
      <c r="O59" s="299">
        <f>G59*K59</f>
        <v>218568.24</v>
      </c>
      <c r="P59" s="302"/>
      <c r="Q59" s="311">
        <f>G59*L59</f>
        <v>845945.28</v>
      </c>
      <c r="R59" s="311"/>
      <c r="S59" s="311"/>
      <c r="T59" s="299">
        <f>SUM(N59:Q59)</f>
        <v>1890810.9466977827</v>
      </c>
      <c r="U59" s="299">
        <f t="shared" ref="U59:V61" si="20">T59</f>
        <v>1890810.9466977827</v>
      </c>
      <c r="V59" s="299">
        <f t="shared" si="20"/>
        <v>1890810.9466977827</v>
      </c>
      <c r="X59" s="237">
        <f>W58-U57</f>
        <v>-1870238.1407433208</v>
      </c>
    </row>
    <row r="60" spans="1:28" ht="50.4" customHeight="1">
      <c r="A60" s="246"/>
      <c r="B60" s="246" t="s">
        <v>262</v>
      </c>
      <c r="C60" s="402"/>
      <c r="D60" s="295" t="s">
        <v>20</v>
      </c>
      <c r="E60" s="302">
        <v>18</v>
      </c>
      <c r="F60" s="302">
        <v>18</v>
      </c>
      <c r="G60" s="302">
        <v>21</v>
      </c>
      <c r="H60" s="302">
        <v>18</v>
      </c>
      <c r="I60" s="302">
        <v>18</v>
      </c>
      <c r="J60" s="299">
        <f>36323.51*1.00162363017</f>
        <v>36382.485946716297</v>
      </c>
      <c r="K60" s="299">
        <f t="shared" ref="K60:K61" si="21">(12142.68)</f>
        <v>12142.68</v>
      </c>
      <c r="L60" s="311">
        <v>46996.959999999999</v>
      </c>
      <c r="M60" s="299">
        <f t="shared" si="7"/>
        <v>95522.125946716289</v>
      </c>
      <c r="N60" s="299">
        <f>G60*J60</f>
        <v>764032.20488104224</v>
      </c>
      <c r="O60" s="299">
        <f>G60*K60</f>
        <v>254996.28</v>
      </c>
      <c r="P60" s="302"/>
      <c r="Q60" s="311">
        <f>G60*L60</f>
        <v>986936.16</v>
      </c>
      <c r="R60" s="311"/>
      <c r="S60" s="311"/>
      <c r="T60" s="299">
        <f>SUM(N60:Q60)</f>
        <v>2005964.6448810422</v>
      </c>
      <c r="U60" s="299">
        <f t="shared" si="20"/>
        <v>2005964.6448810422</v>
      </c>
      <c r="V60" s="299">
        <f t="shared" si="20"/>
        <v>2005964.6448810422</v>
      </c>
    </row>
    <row r="61" spans="1:28" ht="118.5" customHeight="1">
      <c r="A61" s="246"/>
      <c r="B61" s="246" t="s">
        <v>264</v>
      </c>
      <c r="C61" s="229" t="s">
        <v>277</v>
      </c>
      <c r="D61" s="295" t="s">
        <v>20</v>
      </c>
      <c r="E61" s="302">
        <v>66</v>
      </c>
      <c r="F61" s="302">
        <v>66</v>
      </c>
      <c r="G61" s="302">
        <f>((E61*8)+(F61*4))/12</f>
        <v>66</v>
      </c>
      <c r="H61" s="302">
        <v>66</v>
      </c>
      <c r="I61" s="302">
        <v>66</v>
      </c>
      <c r="J61" s="303">
        <f>69653.86*1.00162363017</f>
        <v>69766.952108552956</v>
      </c>
      <c r="K61" s="299">
        <f t="shared" si="21"/>
        <v>12142.68</v>
      </c>
      <c r="L61" s="311">
        <v>46996.959999999999</v>
      </c>
      <c r="M61" s="299">
        <f t="shared" si="7"/>
        <v>128906.59210855296</v>
      </c>
      <c r="N61" s="299">
        <f>G61*J61</f>
        <v>4604618.8391644955</v>
      </c>
      <c r="O61" s="299">
        <f>G61*K61</f>
        <v>801416.88</v>
      </c>
      <c r="P61" s="302"/>
      <c r="Q61" s="311">
        <f>G61*L61</f>
        <v>3101799.36</v>
      </c>
      <c r="R61" s="311"/>
      <c r="S61" s="311"/>
      <c r="T61" s="299">
        <f>SUM(N61:Q61)</f>
        <v>8507835.0791644957</v>
      </c>
      <c r="U61" s="299">
        <f t="shared" si="20"/>
        <v>8507835.0791644957</v>
      </c>
      <c r="V61" s="299">
        <f t="shared" si="20"/>
        <v>8507835.0791644957</v>
      </c>
    </row>
    <row r="62" spans="1:28" ht="43.5" hidden="1" customHeight="1">
      <c r="A62" s="246"/>
      <c r="B62" s="241" t="s">
        <v>253</v>
      </c>
      <c r="C62" s="246" t="s">
        <v>226</v>
      </c>
      <c r="D62" s="295"/>
      <c r="E62" s="302"/>
      <c r="F62" s="302"/>
      <c r="G62" s="302"/>
      <c r="H62" s="302"/>
      <c r="I62" s="302"/>
      <c r="J62" s="299"/>
      <c r="K62" s="299">
        <f t="shared" si="12"/>
        <v>25908.217039320003</v>
      </c>
      <c r="L62" s="311">
        <v>0</v>
      </c>
      <c r="M62" s="299">
        <v>0</v>
      </c>
      <c r="N62" s="302"/>
      <c r="O62" s="299"/>
      <c r="P62" s="302"/>
      <c r="Q62" s="311"/>
      <c r="R62" s="311"/>
      <c r="S62" s="311"/>
      <c r="T62" s="299">
        <f>N62</f>
        <v>0</v>
      </c>
      <c r="U62" s="299">
        <f t="shared" ref="U62:V64" si="22">T62</f>
        <v>0</v>
      </c>
      <c r="V62" s="299">
        <f t="shared" si="22"/>
        <v>0</v>
      </c>
    </row>
    <row r="63" spans="1:28" hidden="1">
      <c r="A63" s="246"/>
      <c r="B63" s="241" t="s">
        <v>256</v>
      </c>
      <c r="C63" s="246"/>
      <c r="D63" s="295"/>
      <c r="E63" s="302"/>
      <c r="F63" s="302"/>
      <c r="G63" s="302"/>
      <c r="H63" s="302"/>
      <c r="I63" s="302"/>
      <c r="J63" s="299"/>
      <c r="K63" s="299">
        <f t="shared" si="12"/>
        <v>25908.217039320003</v>
      </c>
      <c r="L63" s="311">
        <v>0</v>
      </c>
      <c r="M63" s="299">
        <v>0</v>
      </c>
      <c r="N63" s="302"/>
      <c r="O63" s="299"/>
      <c r="P63" s="302"/>
      <c r="Q63" s="311"/>
      <c r="R63" s="311"/>
      <c r="S63" s="311"/>
      <c r="T63" s="299">
        <f>O63</f>
        <v>0</v>
      </c>
      <c r="U63" s="299">
        <f t="shared" si="22"/>
        <v>0</v>
      </c>
      <c r="V63" s="299">
        <f t="shared" si="22"/>
        <v>0</v>
      </c>
    </row>
    <row r="64" spans="1:28" ht="61.5" customHeight="1">
      <c r="A64" s="229" t="s">
        <v>247</v>
      </c>
      <c r="B64" s="246" t="s">
        <v>28</v>
      </c>
      <c r="C64" s="246" t="s">
        <v>219</v>
      </c>
      <c r="D64" s="295" t="s">
        <v>20</v>
      </c>
      <c r="E64" s="302">
        <f>E59+E60+E61</f>
        <v>105</v>
      </c>
      <c r="F64" s="302">
        <f>F59+F60+F61</f>
        <v>105</v>
      </c>
      <c r="G64" s="302">
        <f>G59+G60+G61</f>
        <v>105</v>
      </c>
      <c r="H64" s="302">
        <v>105</v>
      </c>
      <c r="I64" s="302">
        <v>105</v>
      </c>
      <c r="J64" s="299"/>
      <c r="K64" s="299"/>
      <c r="L64" s="311">
        <v>16842</v>
      </c>
      <c r="M64" s="299">
        <f t="shared" si="7"/>
        <v>16842</v>
      </c>
      <c r="N64" s="299">
        <v>0</v>
      </c>
      <c r="O64" s="299"/>
      <c r="P64" s="302"/>
      <c r="Q64" s="311">
        <f>G64*L64</f>
        <v>1768410</v>
      </c>
      <c r="R64" s="311"/>
      <c r="S64" s="311"/>
      <c r="T64" s="299">
        <f>SUM(N64:Q64)</f>
        <v>1768410</v>
      </c>
      <c r="U64" s="299">
        <f>T64</f>
        <v>1768410</v>
      </c>
      <c r="V64" s="299">
        <f t="shared" si="22"/>
        <v>1768410</v>
      </c>
    </row>
    <row r="65" spans="1:29" ht="16.5" customHeight="1">
      <c r="A65" s="246"/>
      <c r="B65" s="246" t="s">
        <v>28</v>
      </c>
      <c r="C65" s="246" t="s">
        <v>220</v>
      </c>
      <c r="D65" s="295"/>
      <c r="E65" s="302"/>
      <c r="F65" s="302"/>
      <c r="G65" s="302">
        <v>105</v>
      </c>
      <c r="H65" s="302">
        <v>105</v>
      </c>
      <c r="I65" s="302">
        <v>105</v>
      </c>
      <c r="J65" s="299"/>
      <c r="K65" s="299"/>
      <c r="L65" s="311">
        <v>21348</v>
      </c>
      <c r="M65" s="299">
        <f t="shared" si="7"/>
        <v>21348</v>
      </c>
      <c r="N65" s="302"/>
      <c r="O65" s="299"/>
      <c r="P65" s="302"/>
      <c r="Q65" s="311"/>
      <c r="R65" s="311"/>
      <c r="S65" s="311">
        <f>G65*L65</f>
        <v>2241540</v>
      </c>
      <c r="T65" s="299">
        <f>S65</f>
        <v>2241540</v>
      </c>
      <c r="U65" s="299">
        <f>S65</f>
        <v>2241540</v>
      </c>
      <c r="V65" s="299">
        <f>S65</f>
        <v>2241540</v>
      </c>
    </row>
    <row r="66" spans="1:29" ht="22.2" customHeight="1">
      <c r="A66" s="298" t="s">
        <v>53</v>
      </c>
      <c r="B66" s="298"/>
      <c r="C66" s="298"/>
      <c r="D66" s="304"/>
      <c r="E66" s="305"/>
      <c r="F66" s="305"/>
      <c r="G66" s="305"/>
      <c r="H66" s="305"/>
      <c r="I66" s="305"/>
      <c r="J66" s="301"/>
      <c r="K66" s="299"/>
      <c r="L66" s="313"/>
      <c r="M66" s="299">
        <f t="shared" si="7"/>
        <v>0</v>
      </c>
      <c r="N66" s="313">
        <f>N67+N75</f>
        <v>10280286.060000001</v>
      </c>
      <c r="O66" s="313">
        <f>O67+O75</f>
        <v>1882115.4</v>
      </c>
      <c r="P66" s="313"/>
      <c r="Q66" s="313">
        <f>Q67+Q75</f>
        <v>9895038.8000000007</v>
      </c>
      <c r="R66" s="313"/>
      <c r="S66" s="313">
        <f>S76</f>
        <v>3287592</v>
      </c>
      <c r="T66" s="313">
        <f>T67+T75+T76</f>
        <v>25345032.260000002</v>
      </c>
      <c r="U66" s="301">
        <f>U67+U75+U76</f>
        <v>25345032.260000002</v>
      </c>
      <c r="V66" s="301">
        <f>V67+V75+V76</f>
        <v>25345032.260000002</v>
      </c>
      <c r="W66" s="225">
        <v>10602392.789999999</v>
      </c>
      <c r="X66" s="237">
        <f>W66-Q66</f>
        <v>707353.98999999836</v>
      </c>
      <c r="Y66" s="240">
        <f>X66/G75</f>
        <v>4563.5741290322476</v>
      </c>
      <c r="AA66" s="225">
        <v>11530755.789999999</v>
      </c>
      <c r="AB66" s="237">
        <f>AA66-Q66</f>
        <v>1635716.9899999984</v>
      </c>
      <c r="AC66" s="225">
        <f>AB66/I75</f>
        <v>10621.538896103886</v>
      </c>
    </row>
    <row r="67" spans="1:29" ht="76.2" customHeight="1">
      <c r="A67" s="229" t="s">
        <v>246</v>
      </c>
      <c r="B67" s="241" t="s">
        <v>76</v>
      </c>
      <c r="C67" s="241"/>
      <c r="D67" s="295"/>
      <c r="E67" s="302"/>
      <c r="F67" s="302"/>
      <c r="G67" s="302"/>
      <c r="H67" s="302"/>
      <c r="I67" s="302"/>
      <c r="J67" s="299"/>
      <c r="K67" s="299"/>
      <c r="L67" s="311"/>
      <c r="M67" s="299">
        <f t="shared" si="7"/>
        <v>0</v>
      </c>
      <c r="N67" s="299">
        <f>SUM(N68:N76)</f>
        <v>10280286.060000001</v>
      </c>
      <c r="O67" s="299">
        <f>SUM(O68:O76)</f>
        <v>1882115.4</v>
      </c>
      <c r="P67" s="302"/>
      <c r="Q67" s="311">
        <f>SUM(Q68:Q70)</f>
        <v>7284528.7999999998</v>
      </c>
      <c r="R67" s="311"/>
      <c r="S67" s="311"/>
      <c r="T67" s="299">
        <f>SUM(T68:T74)</f>
        <v>19446930.260000002</v>
      </c>
      <c r="U67" s="299">
        <f>SUM(U68:U74)</f>
        <v>19446930.260000002</v>
      </c>
      <c r="V67" s="299">
        <f>SUM(V68:V74)</f>
        <v>19446930.260000002</v>
      </c>
      <c r="W67" s="237">
        <v>23072309.280000001</v>
      </c>
      <c r="AA67" s="237">
        <f>23072309.28+U76</f>
        <v>26359901.280000001</v>
      </c>
      <c r="AB67" s="237">
        <f>U66-AA67</f>
        <v>-1014869.0199999996</v>
      </c>
    </row>
    <row r="68" spans="1:29" ht="46.95" customHeight="1">
      <c r="A68" s="229"/>
      <c r="B68" s="246" t="s">
        <v>266</v>
      </c>
      <c r="C68" s="400" t="s">
        <v>273</v>
      </c>
      <c r="D68" s="295" t="s">
        <v>20</v>
      </c>
      <c r="E68" s="302">
        <v>40</v>
      </c>
      <c r="F68" s="302">
        <v>40</v>
      </c>
      <c r="G68" s="302">
        <v>33</v>
      </c>
      <c r="H68" s="302">
        <v>40</v>
      </c>
      <c r="I68" s="302">
        <v>40</v>
      </c>
      <c r="J68" s="299">
        <f>45831</f>
        <v>45831</v>
      </c>
      <c r="K68" s="299">
        <f>(12142.68)</f>
        <v>12142.68</v>
      </c>
      <c r="L68" s="311">
        <v>46996.959999999999</v>
      </c>
      <c r="M68" s="299">
        <f t="shared" si="7"/>
        <v>104970.64</v>
      </c>
      <c r="N68" s="299">
        <f>G68*J68</f>
        <v>1512423</v>
      </c>
      <c r="O68" s="299">
        <f>G68*K68</f>
        <v>400708.44</v>
      </c>
      <c r="P68" s="302"/>
      <c r="Q68" s="311">
        <f>G68*L68</f>
        <v>1550899.68</v>
      </c>
      <c r="R68" s="311"/>
      <c r="S68" s="311"/>
      <c r="T68" s="299">
        <f>SUM(N68:Q68)</f>
        <v>3464031.12</v>
      </c>
      <c r="U68" s="299">
        <f t="shared" ref="U68:V70" si="23">T68</f>
        <v>3464031.12</v>
      </c>
      <c r="V68" s="299">
        <f t="shared" si="23"/>
        <v>3464031.12</v>
      </c>
      <c r="X68" s="237">
        <f>W67-U66</f>
        <v>-2272722.9800000004</v>
      </c>
    </row>
    <row r="69" spans="1:29" ht="53.25" customHeight="1">
      <c r="A69" s="246"/>
      <c r="B69" s="246" t="s">
        <v>264</v>
      </c>
      <c r="C69" s="402"/>
      <c r="D69" s="295" t="s">
        <v>20</v>
      </c>
      <c r="E69" s="302">
        <v>34</v>
      </c>
      <c r="F69" s="302">
        <v>34</v>
      </c>
      <c r="G69" s="302"/>
      <c r="H69" s="302">
        <v>34</v>
      </c>
      <c r="I69" s="302">
        <v>34</v>
      </c>
      <c r="J69" s="299">
        <v>36323.51</v>
      </c>
      <c r="K69" s="299">
        <f t="shared" ref="K69:K70" si="24">(12142.68)</f>
        <v>12142.68</v>
      </c>
      <c r="L69" s="311">
        <v>46996.959999999999</v>
      </c>
      <c r="M69" s="299">
        <f t="shared" si="7"/>
        <v>95463.15</v>
      </c>
      <c r="N69" s="299">
        <f>G69*J69</f>
        <v>0</v>
      </c>
      <c r="O69" s="299">
        <f>G69*K69</f>
        <v>0</v>
      </c>
      <c r="P69" s="302"/>
      <c r="Q69" s="311">
        <f>G69*L69</f>
        <v>0</v>
      </c>
      <c r="R69" s="311"/>
      <c r="S69" s="311"/>
      <c r="T69" s="299">
        <f>SUM(N69:Q69)</f>
        <v>0</v>
      </c>
      <c r="U69" s="299">
        <f t="shared" si="23"/>
        <v>0</v>
      </c>
      <c r="V69" s="299">
        <f t="shared" si="23"/>
        <v>0</v>
      </c>
    </row>
    <row r="70" spans="1:29" ht="138.75" customHeight="1">
      <c r="A70" s="246"/>
      <c r="B70" s="246" t="s">
        <v>264</v>
      </c>
      <c r="C70" s="229" t="s">
        <v>275</v>
      </c>
      <c r="D70" s="295" t="s">
        <v>20</v>
      </c>
      <c r="E70" s="302">
        <v>80</v>
      </c>
      <c r="F70" s="302">
        <v>80</v>
      </c>
      <c r="G70" s="302">
        <v>122</v>
      </c>
      <c r="H70" s="302">
        <v>80</v>
      </c>
      <c r="I70" s="302">
        <v>80</v>
      </c>
      <c r="J70" s="303">
        <v>69653.86</v>
      </c>
      <c r="K70" s="299">
        <f t="shared" si="24"/>
        <v>12142.68</v>
      </c>
      <c r="L70" s="311">
        <v>46996.959999999999</v>
      </c>
      <c r="M70" s="299">
        <f t="shared" si="7"/>
        <v>128793.5</v>
      </c>
      <c r="N70" s="299">
        <f>G70*J70</f>
        <v>8497770.9199999999</v>
      </c>
      <c r="O70" s="299">
        <f>G70*K70</f>
        <v>1481406.96</v>
      </c>
      <c r="P70" s="302"/>
      <c r="Q70" s="311">
        <f>G70*L70</f>
        <v>5733629.1200000001</v>
      </c>
      <c r="R70" s="311"/>
      <c r="S70" s="311"/>
      <c r="T70" s="299">
        <f>SUM(N70:Q70)</f>
        <v>15712807</v>
      </c>
      <c r="U70" s="299">
        <f t="shared" si="23"/>
        <v>15712807</v>
      </c>
      <c r="V70" s="299">
        <f t="shared" si="23"/>
        <v>15712807</v>
      </c>
      <c r="W70" s="237">
        <f>T70-U70</f>
        <v>0</v>
      </c>
    </row>
    <row r="71" spans="1:29" s="226" customFormat="1" ht="26.25" hidden="1" customHeight="1">
      <c r="A71" s="295"/>
      <c r="B71" s="304"/>
      <c r="C71" s="295" t="s">
        <v>226</v>
      </c>
      <c r="D71" s="295"/>
      <c r="E71" s="302"/>
      <c r="F71" s="302"/>
      <c r="G71" s="302">
        <f t="shared" ref="G71:G72" si="25">((E71*8)+(F71*4))/12</f>
        <v>0</v>
      </c>
      <c r="H71" s="302"/>
      <c r="I71" s="302"/>
      <c r="J71" s="299"/>
      <c r="K71" s="299">
        <f t="shared" ref="K71:K72" si="26">(12142.68*2.691335519)</f>
        <v>32680.025979850918</v>
      </c>
      <c r="L71" s="311">
        <v>46996.959999999999</v>
      </c>
      <c r="M71" s="299">
        <v>0</v>
      </c>
      <c r="N71" s="299">
        <v>0</v>
      </c>
      <c r="O71" s="299">
        <v>0</v>
      </c>
      <c r="P71" s="302"/>
      <c r="Q71" s="311"/>
      <c r="R71" s="311"/>
      <c r="S71" s="311"/>
      <c r="T71" s="299">
        <f>O71</f>
        <v>0</v>
      </c>
      <c r="U71" s="299">
        <f t="shared" ref="U71:V75" si="27">T71</f>
        <v>0</v>
      </c>
      <c r="V71" s="299">
        <f t="shared" si="27"/>
        <v>0</v>
      </c>
    </row>
    <row r="72" spans="1:29" s="226" customFormat="1" ht="36" hidden="1" customHeight="1">
      <c r="A72" s="295"/>
      <c r="B72" s="304"/>
      <c r="C72" s="295" t="s">
        <v>226</v>
      </c>
      <c r="D72" s="295"/>
      <c r="E72" s="302"/>
      <c r="F72" s="302"/>
      <c r="G72" s="302">
        <f t="shared" si="25"/>
        <v>0</v>
      </c>
      <c r="H72" s="302"/>
      <c r="I72" s="302"/>
      <c r="J72" s="299"/>
      <c r="K72" s="299">
        <f t="shared" si="26"/>
        <v>32680.025979850918</v>
      </c>
      <c r="L72" s="311">
        <v>46996.959999999999</v>
      </c>
      <c r="M72" s="299">
        <v>0</v>
      </c>
      <c r="N72" s="299">
        <v>0</v>
      </c>
      <c r="O72" s="299">
        <v>0</v>
      </c>
      <c r="P72" s="302"/>
      <c r="Q72" s="311"/>
      <c r="R72" s="311"/>
      <c r="S72" s="311"/>
      <c r="T72" s="299">
        <f>N72</f>
        <v>0</v>
      </c>
      <c r="U72" s="299">
        <f t="shared" si="27"/>
        <v>0</v>
      </c>
      <c r="V72" s="299">
        <f t="shared" si="27"/>
        <v>0</v>
      </c>
    </row>
    <row r="73" spans="1:29" ht="77.25" customHeight="1">
      <c r="A73" s="246"/>
      <c r="B73" s="246" t="s">
        <v>181</v>
      </c>
      <c r="C73" s="307" t="s">
        <v>281</v>
      </c>
      <c r="D73" s="295" t="s">
        <v>20</v>
      </c>
      <c r="E73" s="302">
        <v>34</v>
      </c>
      <c r="F73" s="302">
        <v>34</v>
      </c>
      <c r="G73" s="302"/>
      <c r="H73" s="302"/>
      <c r="I73" s="302"/>
      <c r="J73" s="299">
        <v>1660.4</v>
      </c>
      <c r="K73" s="299"/>
      <c r="L73" s="311">
        <v>46996.959999999999</v>
      </c>
      <c r="M73" s="299">
        <f t="shared" si="7"/>
        <v>48657.36</v>
      </c>
      <c r="N73" s="299">
        <f>G73*J73</f>
        <v>0</v>
      </c>
      <c r="O73" s="299"/>
      <c r="P73" s="302"/>
      <c r="Q73" s="311"/>
      <c r="R73" s="311"/>
      <c r="S73" s="311"/>
      <c r="T73" s="299">
        <f>N73</f>
        <v>0</v>
      </c>
      <c r="U73" s="299">
        <f t="shared" si="27"/>
        <v>0</v>
      </c>
      <c r="V73" s="299">
        <f t="shared" si="27"/>
        <v>0</v>
      </c>
    </row>
    <row r="74" spans="1:29" ht="83.25" customHeight="1">
      <c r="A74" s="246"/>
      <c r="B74" s="246" t="s">
        <v>181</v>
      </c>
      <c r="C74" s="307" t="s">
        <v>279</v>
      </c>
      <c r="D74" s="295" t="s">
        <v>20</v>
      </c>
      <c r="E74" s="302">
        <v>80</v>
      </c>
      <c r="F74" s="302">
        <v>80</v>
      </c>
      <c r="G74" s="302">
        <v>122</v>
      </c>
      <c r="H74" s="302"/>
      <c r="I74" s="302"/>
      <c r="J74" s="299">
        <v>2213.87</v>
      </c>
      <c r="K74" s="299"/>
      <c r="L74" s="311">
        <v>46996.959999999999</v>
      </c>
      <c r="M74" s="299">
        <f t="shared" si="7"/>
        <v>49210.83</v>
      </c>
      <c r="N74" s="299">
        <f>G74*J74</f>
        <v>270092.14</v>
      </c>
      <c r="O74" s="299"/>
      <c r="P74" s="302"/>
      <c r="Q74" s="311"/>
      <c r="R74" s="311"/>
      <c r="S74" s="311"/>
      <c r="T74" s="299">
        <f>N74</f>
        <v>270092.14</v>
      </c>
      <c r="U74" s="299">
        <f t="shared" si="27"/>
        <v>270092.14</v>
      </c>
      <c r="V74" s="299">
        <f t="shared" si="27"/>
        <v>270092.14</v>
      </c>
    </row>
    <row r="75" spans="1:29" ht="60" customHeight="1">
      <c r="A75" s="229" t="s">
        <v>247</v>
      </c>
      <c r="B75" s="246" t="s">
        <v>304</v>
      </c>
      <c r="C75" s="246" t="s">
        <v>219</v>
      </c>
      <c r="D75" s="295" t="s">
        <v>20</v>
      </c>
      <c r="E75" s="302">
        <f>E70+E69+E68</f>
        <v>154</v>
      </c>
      <c r="F75" s="302">
        <f>F70+F69+F68</f>
        <v>154</v>
      </c>
      <c r="G75" s="302">
        <f>G70+G69+G68</f>
        <v>155</v>
      </c>
      <c r="H75" s="302">
        <f>H70+H69+H68</f>
        <v>154</v>
      </c>
      <c r="I75" s="302">
        <f>I70+I69+I68</f>
        <v>154</v>
      </c>
      <c r="J75" s="299"/>
      <c r="K75" s="299"/>
      <c r="L75" s="311">
        <v>16842</v>
      </c>
      <c r="M75" s="299">
        <f t="shared" si="7"/>
        <v>16842</v>
      </c>
      <c r="N75" s="302">
        <f>E75*J75</f>
        <v>0</v>
      </c>
      <c r="O75" s="299"/>
      <c r="P75" s="302"/>
      <c r="Q75" s="311">
        <f>G75*L75</f>
        <v>2610510</v>
      </c>
      <c r="R75" s="311"/>
      <c r="S75" s="311"/>
      <c r="T75" s="299">
        <f>SUM(N75:Q75)</f>
        <v>2610510</v>
      </c>
      <c r="U75" s="299">
        <f t="shared" si="27"/>
        <v>2610510</v>
      </c>
      <c r="V75" s="299">
        <f t="shared" si="27"/>
        <v>2610510</v>
      </c>
    </row>
    <row r="76" spans="1:29" ht="19.2" customHeight="1">
      <c r="A76" s="246"/>
      <c r="B76" s="246" t="s">
        <v>304</v>
      </c>
      <c r="C76" s="246" t="s">
        <v>220</v>
      </c>
      <c r="D76" s="295"/>
      <c r="E76" s="302"/>
      <c r="F76" s="302"/>
      <c r="G76" s="302">
        <v>154</v>
      </c>
      <c r="H76" s="302">
        <v>154</v>
      </c>
      <c r="I76" s="302">
        <v>154</v>
      </c>
      <c r="J76" s="299"/>
      <c r="K76" s="299"/>
      <c r="L76" s="311">
        <v>21348</v>
      </c>
      <c r="M76" s="299">
        <f t="shared" si="7"/>
        <v>21348</v>
      </c>
      <c r="N76" s="302"/>
      <c r="O76" s="299"/>
      <c r="P76" s="302"/>
      <c r="Q76" s="311"/>
      <c r="R76" s="311"/>
      <c r="S76" s="311">
        <f>G76*L76</f>
        <v>3287592</v>
      </c>
      <c r="T76" s="299">
        <f>S76:S77</f>
        <v>3287592</v>
      </c>
      <c r="U76" s="299">
        <f>S76</f>
        <v>3287592</v>
      </c>
      <c r="V76" s="299">
        <f>S76</f>
        <v>3287592</v>
      </c>
    </row>
    <row r="77" spans="1:29" ht="24" customHeight="1">
      <c r="A77" s="304" t="s">
        <v>57</v>
      </c>
      <c r="B77" s="298"/>
      <c r="C77" s="298"/>
      <c r="D77" s="304"/>
      <c r="E77" s="305"/>
      <c r="F77" s="305"/>
      <c r="G77" s="305"/>
      <c r="H77" s="305"/>
      <c r="I77" s="305"/>
      <c r="J77" s="301"/>
      <c r="K77" s="299"/>
      <c r="L77" s="313"/>
      <c r="M77" s="299">
        <f t="shared" si="7"/>
        <v>0</v>
      </c>
      <c r="N77" s="313">
        <f>N78+N86</f>
        <v>8099177.6600000011</v>
      </c>
      <c r="O77" s="313">
        <f>O78+O86</f>
        <v>1359980.1600000001</v>
      </c>
      <c r="P77" s="318"/>
      <c r="Q77" s="313">
        <f>Q78+Q86</f>
        <v>7149963.5200000005</v>
      </c>
      <c r="R77" s="313"/>
      <c r="S77" s="313">
        <f>S87</f>
        <v>2412324</v>
      </c>
      <c r="T77" s="313">
        <f>T78+T86+T87</f>
        <v>19021445.34</v>
      </c>
      <c r="U77" s="301">
        <f>U78+U86+U87</f>
        <v>19021445.34</v>
      </c>
      <c r="V77" s="301">
        <f>V78+V86+V87</f>
        <v>19021445.34</v>
      </c>
      <c r="W77" s="237">
        <v>6315385.3799999999</v>
      </c>
      <c r="X77" s="237">
        <f>W77-Q77</f>
        <v>-834578.1400000006</v>
      </c>
      <c r="Y77" s="225">
        <f>X77/G86</f>
        <v>-7451.590535714291</v>
      </c>
      <c r="AA77" s="225">
        <v>5964695.5300000003</v>
      </c>
      <c r="AB77" s="237">
        <f>AA77-Q77</f>
        <v>-1185267.9900000002</v>
      </c>
      <c r="AC77" s="225">
        <f>AB77/I86</f>
        <v>-10489.097256637169</v>
      </c>
    </row>
    <row r="78" spans="1:29" ht="76.95" customHeight="1">
      <c r="A78" s="229" t="s">
        <v>246</v>
      </c>
      <c r="B78" s="241" t="s">
        <v>76</v>
      </c>
      <c r="C78" s="241"/>
      <c r="D78" s="295"/>
      <c r="E78" s="302"/>
      <c r="F78" s="302"/>
      <c r="G78" s="302"/>
      <c r="H78" s="302"/>
      <c r="I78" s="302"/>
      <c r="J78" s="299"/>
      <c r="K78" s="299"/>
      <c r="L78" s="311"/>
      <c r="M78" s="299">
        <f t="shared" si="7"/>
        <v>0</v>
      </c>
      <c r="N78" s="299">
        <f>SUM(N79:N85)</f>
        <v>8099177.6600000011</v>
      </c>
      <c r="O78" s="299">
        <f>SUM(O79:O87)</f>
        <v>1359980.1600000001</v>
      </c>
      <c r="P78" s="302"/>
      <c r="Q78" s="311">
        <f>SUM(Q79:Q83)</f>
        <v>5263659.5200000005</v>
      </c>
      <c r="R78" s="311"/>
      <c r="S78" s="311"/>
      <c r="T78" s="299">
        <f>SUM(T79:T85)</f>
        <v>14722817.34</v>
      </c>
      <c r="U78" s="299">
        <f>SUM(U79:U85)</f>
        <v>14722817.34</v>
      </c>
      <c r="V78" s="299">
        <f>SUM(V79:V85)</f>
        <v>14722817.34</v>
      </c>
      <c r="W78" s="237">
        <v>15874228.029999999</v>
      </c>
      <c r="AA78" s="237">
        <f>15874228.03+U87</f>
        <v>18286552.030000001</v>
      </c>
      <c r="AB78" s="237">
        <f>U77-AA78</f>
        <v>734893.30999999866</v>
      </c>
    </row>
    <row r="79" spans="1:29" ht="22.5" customHeight="1">
      <c r="A79" s="229"/>
      <c r="B79" s="246" t="s">
        <v>266</v>
      </c>
      <c r="C79" s="400" t="s">
        <v>273</v>
      </c>
      <c r="D79" s="295" t="s">
        <v>20</v>
      </c>
      <c r="E79" s="302">
        <v>0</v>
      </c>
      <c r="F79" s="302">
        <v>0</v>
      </c>
      <c r="G79" s="302">
        <f t="shared" ref="G79" si="28">((E79*8)+(F79*4))/12</f>
        <v>0</v>
      </c>
      <c r="H79" s="302">
        <v>0</v>
      </c>
      <c r="I79" s="302">
        <v>0</v>
      </c>
      <c r="J79" s="299">
        <f>45831</f>
        <v>45831</v>
      </c>
      <c r="K79" s="299">
        <f>(12142.68)</f>
        <v>12142.68</v>
      </c>
      <c r="L79" s="311">
        <v>46996.959999999999</v>
      </c>
      <c r="M79" s="299">
        <f t="shared" si="7"/>
        <v>104970.64</v>
      </c>
      <c r="N79" s="299">
        <f t="shared" ref="N79:N86" si="29">G79*J79</f>
        <v>0</v>
      </c>
      <c r="O79" s="299">
        <f t="shared" ref="O79:O85" si="30">G79*K79</f>
        <v>0</v>
      </c>
      <c r="P79" s="302"/>
      <c r="Q79" s="311">
        <f>G79*L79</f>
        <v>0</v>
      </c>
      <c r="R79" s="311"/>
      <c r="S79" s="311"/>
      <c r="T79" s="299">
        <f>N79+O79+P79+Q79+R79</f>
        <v>0</v>
      </c>
      <c r="U79" s="299">
        <v>0</v>
      </c>
      <c r="V79" s="299">
        <f>U79</f>
        <v>0</v>
      </c>
    </row>
    <row r="80" spans="1:29" ht="24" customHeight="1">
      <c r="A80" s="229"/>
      <c r="B80" s="246" t="s">
        <v>264</v>
      </c>
      <c r="C80" s="401"/>
      <c r="D80" s="295" t="s">
        <v>20</v>
      </c>
      <c r="E80" s="302">
        <v>17</v>
      </c>
      <c r="F80" s="302">
        <v>17</v>
      </c>
      <c r="G80" s="302"/>
      <c r="H80" s="302">
        <v>17</v>
      </c>
      <c r="I80" s="302">
        <v>17</v>
      </c>
      <c r="J80" s="299">
        <v>36323.51</v>
      </c>
      <c r="K80" s="299">
        <f>(12142.68)</f>
        <v>12142.68</v>
      </c>
      <c r="L80" s="311">
        <v>46996.959999999999</v>
      </c>
      <c r="M80" s="299">
        <f t="shared" si="7"/>
        <v>95463.15</v>
      </c>
      <c r="N80" s="299">
        <f t="shared" si="29"/>
        <v>0</v>
      </c>
      <c r="O80" s="299">
        <f t="shared" si="30"/>
        <v>0</v>
      </c>
      <c r="P80" s="302"/>
      <c r="Q80" s="311">
        <f>G80*L80</f>
        <v>0</v>
      </c>
      <c r="R80" s="311"/>
      <c r="S80" s="311"/>
      <c r="T80" s="299">
        <f t="shared" ref="T80:T86" si="31">SUM(N80:Q80)</f>
        <v>0</v>
      </c>
      <c r="U80" s="299">
        <f t="shared" ref="U80:U85" si="32">T80</f>
        <v>0</v>
      </c>
      <c r="V80" s="299">
        <f>U80</f>
        <v>0</v>
      </c>
      <c r="X80" s="237">
        <f>W78-U77</f>
        <v>-3147217.3100000005</v>
      </c>
    </row>
    <row r="81" spans="1:29" ht="112.95" customHeight="1">
      <c r="A81" s="229"/>
      <c r="B81" s="229" t="s">
        <v>263</v>
      </c>
      <c r="C81" s="402"/>
      <c r="D81" s="295" t="s">
        <v>20</v>
      </c>
      <c r="E81" s="302">
        <v>23</v>
      </c>
      <c r="F81" s="302">
        <v>23</v>
      </c>
      <c r="G81" s="302">
        <v>17</v>
      </c>
      <c r="H81" s="302">
        <v>23</v>
      </c>
      <c r="I81" s="302">
        <v>23</v>
      </c>
      <c r="J81" s="303">
        <v>71487.61</v>
      </c>
      <c r="K81" s="299">
        <f>(12142.68)</f>
        <v>12142.68</v>
      </c>
      <c r="L81" s="311">
        <v>46996.959999999999</v>
      </c>
      <c r="M81" s="299"/>
      <c r="N81" s="299">
        <f t="shared" si="29"/>
        <v>1215289.3700000001</v>
      </c>
      <c r="O81" s="299">
        <f t="shared" si="30"/>
        <v>206425.56</v>
      </c>
      <c r="P81" s="302"/>
      <c r="Q81" s="311">
        <f>G81*L81</f>
        <v>798948.32</v>
      </c>
      <c r="R81" s="311"/>
      <c r="S81" s="311"/>
      <c r="T81" s="299">
        <f t="shared" si="31"/>
        <v>2220663.25</v>
      </c>
      <c r="U81" s="299">
        <f t="shared" si="32"/>
        <v>2220663.25</v>
      </c>
      <c r="V81" s="299">
        <f>U81</f>
        <v>2220663.25</v>
      </c>
    </row>
    <row r="82" spans="1:29" ht="110.4">
      <c r="A82" s="229"/>
      <c r="B82" s="246" t="s">
        <v>264</v>
      </c>
      <c r="C82" s="229" t="s">
        <v>268</v>
      </c>
      <c r="D82" s="295" t="s">
        <v>20</v>
      </c>
      <c r="E82" s="308">
        <v>73</v>
      </c>
      <c r="F82" s="302">
        <v>73</v>
      </c>
      <c r="G82" s="302">
        <v>95</v>
      </c>
      <c r="H82" s="302">
        <v>73</v>
      </c>
      <c r="I82" s="302">
        <v>73</v>
      </c>
      <c r="J82" s="303">
        <v>69653.86</v>
      </c>
      <c r="K82" s="299">
        <f>(12142.68)</f>
        <v>12142.68</v>
      </c>
      <c r="L82" s="311">
        <v>46996.959999999999</v>
      </c>
      <c r="M82" s="299">
        <f t="shared" ref="M82:M120" si="33">J82+K82+L82</f>
        <v>128793.5</v>
      </c>
      <c r="N82" s="299">
        <f t="shared" si="29"/>
        <v>6617116.7000000002</v>
      </c>
      <c r="O82" s="299">
        <f t="shared" si="30"/>
        <v>1153554.6000000001</v>
      </c>
      <c r="P82" s="302"/>
      <c r="Q82" s="311">
        <f>G82*L82</f>
        <v>4464711.2</v>
      </c>
      <c r="R82" s="311"/>
      <c r="S82" s="311"/>
      <c r="T82" s="299">
        <f t="shared" si="31"/>
        <v>12235382.5</v>
      </c>
      <c r="U82" s="299">
        <f t="shared" si="32"/>
        <v>12235382.5</v>
      </c>
      <c r="V82" s="299">
        <f>U82</f>
        <v>12235382.5</v>
      </c>
    </row>
    <row r="83" spans="1:29" ht="36" customHeight="1">
      <c r="A83" s="307"/>
      <c r="B83" s="246" t="s">
        <v>181</v>
      </c>
      <c r="C83" s="400" t="s">
        <v>281</v>
      </c>
      <c r="D83" s="295" t="s">
        <v>20</v>
      </c>
      <c r="E83" s="302">
        <v>17</v>
      </c>
      <c r="F83" s="302">
        <v>17</v>
      </c>
      <c r="G83" s="302"/>
      <c r="H83" s="302">
        <v>40</v>
      </c>
      <c r="I83" s="302">
        <v>40</v>
      </c>
      <c r="J83" s="303">
        <v>1660.4</v>
      </c>
      <c r="K83" s="299"/>
      <c r="L83" s="311">
        <v>46996.959999999999</v>
      </c>
      <c r="M83" s="299">
        <f t="shared" si="33"/>
        <v>48657.36</v>
      </c>
      <c r="N83" s="299">
        <f t="shared" si="29"/>
        <v>0</v>
      </c>
      <c r="O83" s="299">
        <f t="shared" si="30"/>
        <v>0</v>
      </c>
      <c r="P83" s="302"/>
      <c r="Q83" s="311"/>
      <c r="R83" s="311"/>
      <c r="S83" s="311"/>
      <c r="T83" s="299">
        <f t="shared" si="31"/>
        <v>0</v>
      </c>
      <c r="U83" s="299">
        <f t="shared" si="32"/>
        <v>0</v>
      </c>
      <c r="V83" s="299">
        <f t="shared" ref="U83:V86" si="34">U83</f>
        <v>0</v>
      </c>
    </row>
    <row r="84" spans="1:29" ht="47.25" customHeight="1">
      <c r="A84" s="307"/>
      <c r="B84" s="246" t="s">
        <v>319</v>
      </c>
      <c r="C84" s="402"/>
      <c r="D84" s="295" t="s">
        <v>20</v>
      </c>
      <c r="E84" s="302">
        <v>23</v>
      </c>
      <c r="F84" s="302">
        <v>23</v>
      </c>
      <c r="G84" s="302">
        <v>17</v>
      </c>
      <c r="H84" s="302">
        <v>23</v>
      </c>
      <c r="I84" s="302">
        <v>23</v>
      </c>
      <c r="J84" s="303">
        <v>3320.82</v>
      </c>
      <c r="K84" s="299"/>
      <c r="L84" s="311">
        <v>46996.959999999999</v>
      </c>
      <c r="M84" s="299">
        <f t="shared" si="33"/>
        <v>50317.78</v>
      </c>
      <c r="N84" s="299">
        <f t="shared" si="29"/>
        <v>56453.94</v>
      </c>
      <c r="O84" s="299">
        <f t="shared" si="30"/>
        <v>0</v>
      </c>
      <c r="P84" s="302"/>
      <c r="Q84" s="311"/>
      <c r="R84" s="311"/>
      <c r="S84" s="311"/>
      <c r="T84" s="299">
        <f t="shared" si="31"/>
        <v>56453.94</v>
      </c>
      <c r="U84" s="299">
        <f t="shared" si="32"/>
        <v>56453.94</v>
      </c>
      <c r="V84" s="299">
        <f>U84</f>
        <v>56453.94</v>
      </c>
    </row>
    <row r="85" spans="1:29" ht="81" customHeight="1">
      <c r="A85" s="307"/>
      <c r="B85" s="246" t="s">
        <v>181</v>
      </c>
      <c r="C85" s="307" t="s">
        <v>279</v>
      </c>
      <c r="D85" s="295" t="s">
        <v>20</v>
      </c>
      <c r="E85" s="302">
        <v>73</v>
      </c>
      <c r="F85" s="302">
        <v>73</v>
      </c>
      <c r="G85" s="302">
        <v>95</v>
      </c>
      <c r="H85" s="302">
        <v>73</v>
      </c>
      <c r="I85" s="302">
        <v>73</v>
      </c>
      <c r="J85" s="303">
        <v>2213.87</v>
      </c>
      <c r="K85" s="299"/>
      <c r="L85" s="311">
        <v>46996.959999999999</v>
      </c>
      <c r="M85" s="299">
        <f t="shared" si="33"/>
        <v>49210.83</v>
      </c>
      <c r="N85" s="299">
        <f t="shared" si="29"/>
        <v>210317.65</v>
      </c>
      <c r="O85" s="299">
        <f t="shared" si="30"/>
        <v>0</v>
      </c>
      <c r="P85" s="302"/>
      <c r="Q85" s="311"/>
      <c r="R85" s="311"/>
      <c r="S85" s="311"/>
      <c r="T85" s="299">
        <f t="shared" si="31"/>
        <v>210317.65</v>
      </c>
      <c r="U85" s="299">
        <f t="shared" si="32"/>
        <v>210317.65</v>
      </c>
      <c r="V85" s="299">
        <f t="shared" si="34"/>
        <v>210317.65</v>
      </c>
    </row>
    <row r="86" spans="1:29" ht="55.2">
      <c r="A86" s="229" t="s">
        <v>247</v>
      </c>
      <c r="B86" s="246" t="s">
        <v>28</v>
      </c>
      <c r="C86" s="246" t="s">
        <v>219</v>
      </c>
      <c r="D86" s="295" t="s">
        <v>20</v>
      </c>
      <c r="E86" s="302">
        <f>E79+E80+E81+E82</f>
        <v>113</v>
      </c>
      <c r="F86" s="302">
        <f>F79+F80+F81+F82</f>
        <v>113</v>
      </c>
      <c r="G86" s="302">
        <f>G79+G80+G81+G82</f>
        <v>112</v>
      </c>
      <c r="H86" s="302">
        <f>H79+H80+H81+H82</f>
        <v>113</v>
      </c>
      <c r="I86" s="302">
        <f>I79+I80+I81+I82</f>
        <v>113</v>
      </c>
      <c r="J86" s="299"/>
      <c r="K86" s="299">
        <f>(12142.68)</f>
        <v>12142.68</v>
      </c>
      <c r="L86" s="311">
        <v>16842</v>
      </c>
      <c r="M86" s="299">
        <f t="shared" si="33"/>
        <v>28984.68</v>
      </c>
      <c r="N86" s="299">
        <f t="shared" si="29"/>
        <v>0</v>
      </c>
      <c r="O86" s="299">
        <v>0</v>
      </c>
      <c r="P86" s="302"/>
      <c r="Q86" s="311">
        <f>G86*L86</f>
        <v>1886304</v>
      </c>
      <c r="R86" s="311"/>
      <c r="S86" s="311"/>
      <c r="T86" s="299">
        <f t="shared" si="31"/>
        <v>1886304</v>
      </c>
      <c r="U86" s="299">
        <f t="shared" si="34"/>
        <v>1886304</v>
      </c>
      <c r="V86" s="299">
        <f t="shared" si="34"/>
        <v>1886304</v>
      </c>
    </row>
    <row r="87" spans="1:29" ht="18" customHeight="1">
      <c r="A87" s="246"/>
      <c r="B87" s="246" t="s">
        <v>28</v>
      </c>
      <c r="C87" s="246" t="s">
        <v>220</v>
      </c>
      <c r="D87" s="295"/>
      <c r="E87" s="302"/>
      <c r="F87" s="302"/>
      <c r="G87" s="302">
        <v>113</v>
      </c>
      <c r="H87" s="302">
        <v>113</v>
      </c>
      <c r="I87" s="302">
        <v>113</v>
      </c>
      <c r="J87" s="299"/>
      <c r="K87" s="299">
        <f>(12142.68)</f>
        <v>12142.68</v>
      </c>
      <c r="L87" s="311">
        <v>21348</v>
      </c>
      <c r="M87" s="299">
        <f t="shared" si="33"/>
        <v>33490.68</v>
      </c>
      <c r="N87" s="302"/>
      <c r="O87" s="299"/>
      <c r="P87" s="302"/>
      <c r="Q87" s="311"/>
      <c r="R87" s="311"/>
      <c r="S87" s="311">
        <f>G87*L87</f>
        <v>2412324</v>
      </c>
      <c r="T87" s="299">
        <f>S87</f>
        <v>2412324</v>
      </c>
      <c r="U87" s="299">
        <f>S87</f>
        <v>2412324</v>
      </c>
      <c r="V87" s="299">
        <f>S87</f>
        <v>2412324</v>
      </c>
    </row>
    <row r="88" spans="1:29" ht="31.2" customHeight="1">
      <c r="A88" s="298" t="s">
        <v>61</v>
      </c>
      <c r="B88" s="298"/>
      <c r="C88" s="298"/>
      <c r="D88" s="304"/>
      <c r="E88" s="305"/>
      <c r="F88" s="305"/>
      <c r="G88" s="305"/>
      <c r="H88" s="305"/>
      <c r="I88" s="305"/>
      <c r="J88" s="301"/>
      <c r="K88" s="299"/>
      <c r="L88" s="313"/>
      <c r="M88" s="299">
        <f t="shared" si="33"/>
        <v>0</v>
      </c>
      <c r="N88" s="313">
        <f>N89+N95</f>
        <v>15594953.231199138</v>
      </c>
      <c r="O88" s="313">
        <f>O89+O95</f>
        <v>2452821.3600000003</v>
      </c>
      <c r="P88" s="313"/>
      <c r="Q88" s="313">
        <f>Q89+Q95</f>
        <v>12895469.92</v>
      </c>
      <c r="R88" s="313"/>
      <c r="S88" s="313">
        <f>S96</f>
        <v>4419036</v>
      </c>
      <c r="T88" s="313">
        <f>T89+T95+T96</f>
        <v>35362280.511199132</v>
      </c>
      <c r="U88" s="301">
        <f>U89+U95+U96</f>
        <v>35362280.511199132</v>
      </c>
      <c r="V88" s="301">
        <f>V89+V95+V96</f>
        <v>35362280.511199132</v>
      </c>
      <c r="W88" s="225">
        <v>11124194.529999999</v>
      </c>
      <c r="X88" s="237">
        <f>W88-Q88</f>
        <v>-1771275.3900000006</v>
      </c>
      <c r="Y88" s="225">
        <f>X88/G95</f>
        <v>-8768.690049504954</v>
      </c>
      <c r="AA88" s="225">
        <v>11727438.529999999</v>
      </c>
      <c r="AB88" s="237">
        <f>AA88-Q88</f>
        <v>-1168031.3900000006</v>
      </c>
      <c r="AC88" s="240">
        <f>AB88/I95</f>
        <v>-5642.6637198067665</v>
      </c>
    </row>
    <row r="89" spans="1:29" ht="83.25" customHeight="1">
      <c r="A89" s="229" t="s">
        <v>246</v>
      </c>
      <c r="B89" s="241" t="s">
        <v>76</v>
      </c>
      <c r="C89" s="241"/>
      <c r="D89" s="295"/>
      <c r="E89" s="302"/>
      <c r="F89" s="302"/>
      <c r="G89" s="302"/>
      <c r="H89" s="302"/>
      <c r="I89" s="302"/>
      <c r="J89" s="299"/>
      <c r="K89" s="299"/>
      <c r="L89" s="311"/>
      <c r="M89" s="299">
        <f t="shared" si="33"/>
        <v>0</v>
      </c>
      <c r="N89" s="299">
        <f>N90+N92+N94+N91+N93</f>
        <v>15594953.231199138</v>
      </c>
      <c r="O89" s="299">
        <f>SUM(O90:O96)</f>
        <v>2452821.3600000003</v>
      </c>
      <c r="P89" s="299"/>
      <c r="Q89" s="311">
        <f>SUM(Q90:Q94)</f>
        <v>9493385.9199999999</v>
      </c>
      <c r="R89" s="311"/>
      <c r="S89" s="311"/>
      <c r="T89" s="299">
        <f>SUM(T90:T94)</f>
        <v>27541160.511199135</v>
      </c>
      <c r="U89" s="299">
        <f>SUM(U90:U94)</f>
        <v>27541160.511199135</v>
      </c>
      <c r="V89" s="299">
        <f>SUM(V90:V94)</f>
        <v>27541160.511199135</v>
      </c>
      <c r="W89" s="237">
        <v>35333149.530000001</v>
      </c>
      <c r="AA89" s="237">
        <f>35333149.53+U96</f>
        <v>39752185.530000001</v>
      </c>
      <c r="AB89" s="237">
        <f>U88-AA89</f>
        <v>-4389905.0188008696</v>
      </c>
    </row>
    <row r="90" spans="1:29" ht="96.6">
      <c r="A90" s="229"/>
      <c r="B90" s="246" t="s">
        <v>266</v>
      </c>
      <c r="C90" s="229" t="s">
        <v>273</v>
      </c>
      <c r="D90" s="295" t="s">
        <v>20</v>
      </c>
      <c r="E90" s="302">
        <v>31</v>
      </c>
      <c r="F90" s="302">
        <v>31</v>
      </c>
      <c r="G90" s="302">
        <v>24</v>
      </c>
      <c r="H90" s="302">
        <v>31</v>
      </c>
      <c r="I90" s="302">
        <v>31</v>
      </c>
      <c r="J90" s="299">
        <f>45831*1.00557915956</f>
        <v>46086.698461794367</v>
      </c>
      <c r="K90" s="299">
        <f>(12142.68)</f>
        <v>12142.68</v>
      </c>
      <c r="L90" s="311">
        <v>46996.959999999999</v>
      </c>
      <c r="M90" s="299">
        <f t="shared" si="33"/>
        <v>105226.33846179437</v>
      </c>
      <c r="N90" s="299">
        <f>G90*J90</f>
        <v>1106080.7630830649</v>
      </c>
      <c r="O90" s="299">
        <f>G90*K90</f>
        <v>291424.32</v>
      </c>
      <c r="P90" s="299"/>
      <c r="Q90" s="311">
        <f>G90*L90</f>
        <v>1127927.04</v>
      </c>
      <c r="R90" s="311"/>
      <c r="S90" s="311"/>
      <c r="T90" s="299">
        <f>SUM(N90:Q90)</f>
        <v>2525432.1230830653</v>
      </c>
      <c r="U90" s="299">
        <f t="shared" ref="U90:U95" si="35">T90</f>
        <v>2525432.1230830653</v>
      </c>
      <c r="V90" s="299">
        <f t="shared" ref="V90:V95" si="36">U90</f>
        <v>2525432.1230830653</v>
      </c>
      <c r="X90" s="237">
        <f>W89-U88</f>
        <v>-29130.981199130416</v>
      </c>
      <c r="AA90" s="237"/>
    </row>
    <row r="91" spans="1:29" ht="138">
      <c r="A91" s="246"/>
      <c r="B91" s="246" t="s">
        <v>341</v>
      </c>
      <c r="C91" s="229" t="s">
        <v>278</v>
      </c>
      <c r="D91" s="295" t="s">
        <v>20</v>
      </c>
      <c r="E91" s="302">
        <v>10</v>
      </c>
      <c r="F91" s="302">
        <v>10</v>
      </c>
      <c r="G91" s="302">
        <v>9</v>
      </c>
      <c r="H91" s="302">
        <v>10</v>
      </c>
      <c r="I91" s="302">
        <v>10</v>
      </c>
      <c r="J91" s="299">
        <f>244789.02*1.00557915956</f>
        <v>246154.73700111604</v>
      </c>
      <c r="K91" s="299">
        <f>(12142.68)</f>
        <v>12142.68</v>
      </c>
      <c r="L91" s="311">
        <v>46996.959999999999</v>
      </c>
      <c r="M91" s="299">
        <f t="shared" si="33"/>
        <v>305294.37700111605</v>
      </c>
      <c r="N91" s="299">
        <f>G91*J91</f>
        <v>2215392.6330100442</v>
      </c>
      <c r="O91" s="299">
        <f>G91*K91</f>
        <v>109284.12</v>
      </c>
      <c r="P91" s="299"/>
      <c r="Q91" s="311">
        <f>G91*L91</f>
        <v>422972.64</v>
      </c>
      <c r="R91" s="311"/>
      <c r="S91" s="311"/>
      <c r="T91" s="299">
        <f>SUM(N91:Q91)</f>
        <v>2747649.3930100445</v>
      </c>
      <c r="U91" s="299">
        <f t="shared" si="35"/>
        <v>2747649.3930100445</v>
      </c>
      <c r="V91" s="299">
        <f t="shared" si="36"/>
        <v>2747649.3930100445</v>
      </c>
    </row>
    <row r="92" spans="1:29" ht="110.4">
      <c r="A92" s="246"/>
      <c r="B92" s="246" t="s">
        <v>264</v>
      </c>
      <c r="C92" s="229" t="s">
        <v>275</v>
      </c>
      <c r="D92" s="295" t="s">
        <v>20</v>
      </c>
      <c r="E92" s="302">
        <v>166</v>
      </c>
      <c r="F92" s="302">
        <v>166</v>
      </c>
      <c r="G92" s="302">
        <v>169</v>
      </c>
      <c r="H92" s="302">
        <v>166</v>
      </c>
      <c r="I92" s="302">
        <v>166</v>
      </c>
      <c r="J92" s="303">
        <f>69653.86*1.00557915956</f>
        <v>70042.469998909903</v>
      </c>
      <c r="K92" s="299">
        <f>(12142.68)</f>
        <v>12142.68</v>
      </c>
      <c r="L92" s="311">
        <v>46996.959999999999</v>
      </c>
      <c r="M92" s="299">
        <f t="shared" si="33"/>
        <v>129182.1099989099</v>
      </c>
      <c r="N92" s="299">
        <f>G92*J92</f>
        <v>11837177.429815773</v>
      </c>
      <c r="O92" s="299"/>
      <c r="P92" s="299"/>
      <c r="Q92" s="311">
        <f>G92*L92</f>
        <v>7942486.2400000002</v>
      </c>
      <c r="R92" s="311"/>
      <c r="S92" s="311"/>
      <c r="T92" s="299">
        <f>SUM(N92:Q92)</f>
        <v>19779663.669815771</v>
      </c>
      <c r="U92" s="299">
        <f t="shared" si="35"/>
        <v>19779663.669815771</v>
      </c>
      <c r="V92" s="299">
        <f t="shared" si="36"/>
        <v>19779663.669815771</v>
      </c>
    </row>
    <row r="93" spans="1:29" ht="69">
      <c r="A93" s="246"/>
      <c r="B93" s="246" t="s">
        <v>264</v>
      </c>
      <c r="C93" s="229" t="s">
        <v>320</v>
      </c>
      <c r="D93" s="295" t="s">
        <v>20</v>
      </c>
      <c r="E93" s="302">
        <v>10</v>
      </c>
      <c r="F93" s="302">
        <v>10</v>
      </c>
      <c r="G93" s="302">
        <v>9</v>
      </c>
      <c r="H93" s="302">
        <v>10</v>
      </c>
      <c r="I93" s="302">
        <v>10</v>
      </c>
      <c r="J93" s="303">
        <f>6637.52*1.00557915956</f>
        <v>6674.5517831626921</v>
      </c>
      <c r="K93" s="299">
        <f t="shared" ref="K93:K94" si="37">(12142.68)</f>
        <v>12142.68</v>
      </c>
      <c r="L93" s="311"/>
      <c r="M93" s="299"/>
      <c r="N93" s="299">
        <f>G93*J93</f>
        <v>60070.96604846423</v>
      </c>
      <c r="O93" s="299"/>
      <c r="P93" s="299"/>
      <c r="Q93" s="311"/>
      <c r="R93" s="311"/>
      <c r="S93" s="311"/>
      <c r="T93" s="299">
        <f>SUM(N93:Q93)</f>
        <v>60070.96604846423</v>
      </c>
      <c r="U93" s="299">
        <f t="shared" si="35"/>
        <v>60070.96604846423</v>
      </c>
      <c r="V93" s="299">
        <f t="shared" si="36"/>
        <v>60070.96604846423</v>
      </c>
    </row>
    <row r="94" spans="1:29" ht="69">
      <c r="A94" s="229"/>
      <c r="B94" s="246" t="s">
        <v>280</v>
      </c>
      <c r="C94" s="229" t="s">
        <v>279</v>
      </c>
      <c r="D94" s="295" t="s">
        <v>20</v>
      </c>
      <c r="E94" s="302">
        <v>166</v>
      </c>
      <c r="F94" s="302">
        <v>166</v>
      </c>
      <c r="G94" s="302">
        <v>169</v>
      </c>
      <c r="H94" s="302">
        <v>166</v>
      </c>
      <c r="I94" s="302">
        <v>166</v>
      </c>
      <c r="J94" s="299">
        <f>2213.87*1.00557915956</f>
        <v>2226.2215339750974</v>
      </c>
      <c r="K94" s="299">
        <f t="shared" si="37"/>
        <v>12142.68</v>
      </c>
      <c r="L94" s="311">
        <v>46996.959999999999</v>
      </c>
      <c r="M94" s="299">
        <f t="shared" si="33"/>
        <v>61365.861533975098</v>
      </c>
      <c r="N94" s="299">
        <f>G94*J94</f>
        <v>376231.43924179144</v>
      </c>
      <c r="O94" s="299">
        <f>G94*K94</f>
        <v>2052112.9200000002</v>
      </c>
      <c r="P94" s="299"/>
      <c r="Q94" s="311"/>
      <c r="R94" s="311"/>
      <c r="S94" s="311"/>
      <c r="T94" s="299">
        <f>SUM(N94:Q94)</f>
        <v>2428344.3592417915</v>
      </c>
      <c r="U94" s="299">
        <f t="shared" si="35"/>
        <v>2428344.3592417915</v>
      </c>
      <c r="V94" s="299">
        <f t="shared" si="36"/>
        <v>2428344.3592417915</v>
      </c>
    </row>
    <row r="95" spans="1:29" ht="61.5" customHeight="1">
      <c r="A95" s="229" t="s">
        <v>247</v>
      </c>
      <c r="B95" s="246" t="s">
        <v>28</v>
      </c>
      <c r="C95" s="246" t="s">
        <v>219</v>
      </c>
      <c r="D95" s="295" t="s">
        <v>20</v>
      </c>
      <c r="E95" s="302">
        <f>E90+E91+E92</f>
        <v>207</v>
      </c>
      <c r="F95" s="302">
        <f>F90+F91+F92</f>
        <v>207</v>
      </c>
      <c r="G95" s="302">
        <f>G90+G91+G92</f>
        <v>202</v>
      </c>
      <c r="H95" s="302">
        <f>H92+H91+H90</f>
        <v>207</v>
      </c>
      <c r="I95" s="302">
        <f>I92+I91+I90</f>
        <v>207</v>
      </c>
      <c r="J95" s="299"/>
      <c r="K95" s="299"/>
      <c r="L95" s="311">
        <v>16842</v>
      </c>
      <c r="M95" s="299">
        <f t="shared" si="33"/>
        <v>16842</v>
      </c>
      <c r="N95" s="302">
        <v>0</v>
      </c>
      <c r="O95" s="299">
        <f>G95*K95</f>
        <v>0</v>
      </c>
      <c r="P95" s="302"/>
      <c r="Q95" s="311">
        <f>G95*L95</f>
        <v>3402084</v>
      </c>
      <c r="R95" s="311"/>
      <c r="S95" s="311"/>
      <c r="T95" s="299">
        <f>Q95</f>
        <v>3402084</v>
      </c>
      <c r="U95" s="299">
        <f t="shared" si="35"/>
        <v>3402084</v>
      </c>
      <c r="V95" s="299">
        <f t="shared" si="36"/>
        <v>3402084</v>
      </c>
    </row>
    <row r="96" spans="1:29" ht="17.399999999999999" customHeight="1">
      <c r="A96" s="246"/>
      <c r="B96" s="246" t="s">
        <v>28</v>
      </c>
      <c r="C96" s="246" t="s">
        <v>220</v>
      </c>
      <c r="D96" s="295"/>
      <c r="E96" s="302"/>
      <c r="F96" s="302"/>
      <c r="G96" s="302">
        <v>207</v>
      </c>
      <c r="H96" s="302">
        <v>207</v>
      </c>
      <c r="I96" s="302">
        <v>207</v>
      </c>
      <c r="J96" s="299"/>
      <c r="K96" s="299"/>
      <c r="L96" s="311">
        <v>21348</v>
      </c>
      <c r="M96" s="299">
        <f t="shared" si="33"/>
        <v>21348</v>
      </c>
      <c r="N96" s="302"/>
      <c r="O96" s="299"/>
      <c r="P96" s="302"/>
      <c r="Q96" s="311"/>
      <c r="R96" s="311"/>
      <c r="S96" s="311">
        <f>G96*L96</f>
        <v>4419036</v>
      </c>
      <c r="T96" s="299">
        <f>S96</f>
        <v>4419036</v>
      </c>
      <c r="U96" s="299">
        <f>S96</f>
        <v>4419036</v>
      </c>
      <c r="V96" s="299">
        <f>S96</f>
        <v>4419036</v>
      </c>
    </row>
    <row r="97" spans="1:29" ht="20.399999999999999" customHeight="1">
      <c r="A97" s="298" t="s">
        <v>65</v>
      </c>
      <c r="B97" s="298"/>
      <c r="C97" s="298"/>
      <c r="D97" s="304"/>
      <c r="E97" s="305"/>
      <c r="F97" s="305"/>
      <c r="G97" s="305"/>
      <c r="H97" s="305"/>
      <c r="I97" s="305"/>
      <c r="J97" s="301"/>
      <c r="K97" s="299"/>
      <c r="L97" s="313"/>
      <c r="M97" s="299">
        <f t="shared" si="33"/>
        <v>0</v>
      </c>
      <c r="N97" s="313">
        <f>N98+N101</f>
        <v>8573100.4400000013</v>
      </c>
      <c r="O97" s="313">
        <f>O98+O101</f>
        <v>1614976.44</v>
      </c>
      <c r="P97" s="313"/>
      <c r="Q97" s="313">
        <f>Q98+Q101</f>
        <v>8490581.6799999997</v>
      </c>
      <c r="R97" s="313"/>
      <c r="S97" s="313">
        <f>S102</f>
        <v>2903328</v>
      </c>
      <c r="T97" s="313">
        <f>T98+T101+T102</f>
        <v>21581986.560000002</v>
      </c>
      <c r="U97" s="301">
        <f>U98+U101+U102</f>
        <v>21581986.560000002</v>
      </c>
      <c r="V97" s="301">
        <f>V98+V101+V102</f>
        <v>21581986.560000002</v>
      </c>
      <c r="W97" s="225">
        <v>6916925.5300000003</v>
      </c>
      <c r="X97" s="237">
        <f>W97-Q97</f>
        <v>-1573656.1499999994</v>
      </c>
      <c r="Y97" s="225">
        <f>X97/G101</f>
        <v>-11832.001127819545</v>
      </c>
      <c r="AA97" s="225">
        <v>6466219.5300000003</v>
      </c>
      <c r="AB97" s="237">
        <f>AA97-Q97</f>
        <v>-2024362.1499999994</v>
      </c>
      <c r="AC97" s="225">
        <f>AB97/I101</f>
        <v>-14885.015808823526</v>
      </c>
    </row>
    <row r="98" spans="1:29" ht="85.5" customHeight="1">
      <c r="A98" s="229" t="s">
        <v>246</v>
      </c>
      <c r="B98" s="241" t="s">
        <v>76</v>
      </c>
      <c r="C98" s="241"/>
      <c r="D98" s="295"/>
      <c r="E98" s="302"/>
      <c r="F98" s="302"/>
      <c r="G98" s="302"/>
      <c r="H98" s="302"/>
      <c r="I98" s="302"/>
      <c r="J98" s="299"/>
      <c r="K98" s="299"/>
      <c r="L98" s="311"/>
      <c r="M98" s="299">
        <f t="shared" si="33"/>
        <v>0</v>
      </c>
      <c r="N98" s="299">
        <f>SUM(N99:N102)</f>
        <v>8573100.4400000013</v>
      </c>
      <c r="O98" s="299">
        <f>SUM(O99:O102)</f>
        <v>1614976.44</v>
      </c>
      <c r="P98" s="299"/>
      <c r="Q98" s="311">
        <f>SUM(Q99:Q100)</f>
        <v>6250595.6799999997</v>
      </c>
      <c r="R98" s="311"/>
      <c r="S98" s="311"/>
      <c r="T98" s="299">
        <f>SUM(T99:T100)</f>
        <v>16438672.560000001</v>
      </c>
      <c r="U98" s="299">
        <f>SUM(U99:U100)</f>
        <v>16438672.560000001</v>
      </c>
      <c r="V98" s="299">
        <f>SUM(V99:V100)</f>
        <v>16438672.560000001</v>
      </c>
      <c r="W98" s="225">
        <v>17989534.530000001</v>
      </c>
      <c r="AA98" s="237">
        <f>17989534.53+U102</f>
        <v>20892862.530000001</v>
      </c>
      <c r="AB98" s="237">
        <f>U97-AA98</f>
        <v>689124.03000000119</v>
      </c>
    </row>
    <row r="99" spans="1:29" ht="96.6">
      <c r="A99" s="229"/>
      <c r="B99" s="246" t="s">
        <v>266</v>
      </c>
      <c r="C99" s="229" t="s">
        <v>269</v>
      </c>
      <c r="D99" s="295" t="s">
        <v>20</v>
      </c>
      <c r="E99" s="302">
        <v>40</v>
      </c>
      <c r="F99" s="302">
        <v>40</v>
      </c>
      <c r="G99" s="302">
        <v>29</v>
      </c>
      <c r="H99" s="302">
        <v>40</v>
      </c>
      <c r="I99" s="302">
        <v>40</v>
      </c>
      <c r="J99" s="299">
        <f>45831</f>
        <v>45831</v>
      </c>
      <c r="K99" s="299">
        <f>(12142.68)</f>
        <v>12142.68</v>
      </c>
      <c r="L99" s="311">
        <v>46996.959999999999</v>
      </c>
      <c r="M99" s="299">
        <f t="shared" si="33"/>
        <v>104970.64</v>
      </c>
      <c r="N99" s="299">
        <f>G99*J99</f>
        <v>1329099</v>
      </c>
      <c r="O99" s="299">
        <f>G99*K99</f>
        <v>352137.72000000003</v>
      </c>
      <c r="P99" s="309"/>
      <c r="Q99" s="311">
        <f>G99*L99</f>
        <v>1362911.84</v>
      </c>
      <c r="R99" s="311"/>
      <c r="S99" s="311"/>
      <c r="T99" s="299">
        <f>N99+O99+P99+Q99+R99</f>
        <v>3044148.56</v>
      </c>
      <c r="U99" s="299">
        <f t="shared" ref="U99:V101" si="38">T99</f>
        <v>3044148.56</v>
      </c>
      <c r="V99" s="299">
        <f t="shared" si="38"/>
        <v>3044148.56</v>
      </c>
      <c r="W99" s="237"/>
      <c r="X99" s="237">
        <f>W98-U97</f>
        <v>-3592452.0300000012</v>
      </c>
    </row>
    <row r="100" spans="1:29" ht="108" customHeight="1">
      <c r="A100" s="246"/>
      <c r="B100" s="246" t="s">
        <v>264</v>
      </c>
      <c r="C100" s="229" t="s">
        <v>271</v>
      </c>
      <c r="D100" s="295" t="s">
        <v>20</v>
      </c>
      <c r="E100" s="302">
        <v>96</v>
      </c>
      <c r="F100" s="302">
        <v>96</v>
      </c>
      <c r="G100" s="302">
        <v>104</v>
      </c>
      <c r="H100" s="302">
        <v>96</v>
      </c>
      <c r="I100" s="302">
        <v>96</v>
      </c>
      <c r="J100" s="303">
        <v>69653.86</v>
      </c>
      <c r="K100" s="299">
        <f>(12142.68)</f>
        <v>12142.68</v>
      </c>
      <c r="L100" s="311">
        <v>46996.959999999999</v>
      </c>
      <c r="M100" s="299">
        <f t="shared" si="33"/>
        <v>128793.5</v>
      </c>
      <c r="N100" s="299">
        <f>G100*J100</f>
        <v>7244001.4400000004</v>
      </c>
      <c r="O100" s="299">
        <f>G100*K100</f>
        <v>1262838.72</v>
      </c>
      <c r="P100" s="309"/>
      <c r="Q100" s="311">
        <f>G100*L100</f>
        <v>4887683.84</v>
      </c>
      <c r="R100" s="311"/>
      <c r="S100" s="311"/>
      <c r="T100" s="299">
        <f>N100+O100+P100+Q100+R100</f>
        <v>13394524</v>
      </c>
      <c r="U100" s="299">
        <f t="shared" si="38"/>
        <v>13394524</v>
      </c>
      <c r="V100" s="299">
        <f t="shared" si="38"/>
        <v>13394524</v>
      </c>
    </row>
    <row r="101" spans="1:29" ht="55.2">
      <c r="A101" s="229" t="s">
        <v>247</v>
      </c>
      <c r="B101" s="246" t="s">
        <v>28</v>
      </c>
      <c r="C101" s="246" t="s">
        <v>219</v>
      </c>
      <c r="D101" s="295" t="s">
        <v>20</v>
      </c>
      <c r="E101" s="302">
        <f>E99+E100</f>
        <v>136</v>
      </c>
      <c r="F101" s="302">
        <f>F99+F100</f>
        <v>136</v>
      </c>
      <c r="G101" s="302">
        <f>G99+G100</f>
        <v>133</v>
      </c>
      <c r="H101" s="302">
        <f>H99+H100</f>
        <v>136</v>
      </c>
      <c r="I101" s="302">
        <f>I99+I100</f>
        <v>136</v>
      </c>
      <c r="J101" s="299"/>
      <c r="K101" s="299"/>
      <c r="L101" s="311">
        <v>16842</v>
      </c>
      <c r="M101" s="299">
        <f t="shared" si="33"/>
        <v>16842</v>
      </c>
      <c r="N101" s="302">
        <v>0</v>
      </c>
      <c r="O101" s="299">
        <v>0</v>
      </c>
      <c r="P101" s="302"/>
      <c r="Q101" s="311">
        <f>G101*L101</f>
        <v>2239986</v>
      </c>
      <c r="R101" s="311"/>
      <c r="S101" s="311"/>
      <c r="T101" s="299">
        <f>SUM(N101:Q101)</f>
        <v>2239986</v>
      </c>
      <c r="U101" s="299">
        <f t="shared" si="38"/>
        <v>2239986</v>
      </c>
      <c r="V101" s="299">
        <f t="shared" si="38"/>
        <v>2239986</v>
      </c>
    </row>
    <row r="102" spans="1:29">
      <c r="A102" s="246"/>
      <c r="B102" s="246" t="s">
        <v>28</v>
      </c>
      <c r="C102" s="246" t="s">
        <v>220</v>
      </c>
      <c r="D102" s="295"/>
      <c r="E102" s="302"/>
      <c r="F102" s="302"/>
      <c r="G102" s="302">
        <v>136</v>
      </c>
      <c r="H102" s="302">
        <v>136</v>
      </c>
      <c r="I102" s="302">
        <v>136</v>
      </c>
      <c r="J102" s="299"/>
      <c r="K102" s="299"/>
      <c r="L102" s="311">
        <v>21348</v>
      </c>
      <c r="M102" s="299">
        <f t="shared" si="33"/>
        <v>21348</v>
      </c>
      <c r="N102" s="302"/>
      <c r="O102" s="299"/>
      <c r="P102" s="302"/>
      <c r="Q102" s="311"/>
      <c r="R102" s="311"/>
      <c r="S102" s="311">
        <f>G102*L102</f>
        <v>2903328</v>
      </c>
      <c r="T102" s="299">
        <f>S102</f>
        <v>2903328</v>
      </c>
      <c r="U102" s="299">
        <f>S102</f>
        <v>2903328</v>
      </c>
      <c r="V102" s="299">
        <f>S102</f>
        <v>2903328</v>
      </c>
    </row>
    <row r="103" spans="1:29" ht="30" customHeight="1">
      <c r="A103" s="298" t="s">
        <v>68</v>
      </c>
      <c r="B103" s="298"/>
      <c r="C103" s="298"/>
      <c r="D103" s="304"/>
      <c r="E103" s="305"/>
      <c r="F103" s="305"/>
      <c r="G103" s="305"/>
      <c r="H103" s="305"/>
      <c r="I103" s="305"/>
      <c r="J103" s="301"/>
      <c r="K103" s="299"/>
      <c r="L103" s="313"/>
      <c r="M103" s="299">
        <f t="shared" si="33"/>
        <v>0</v>
      </c>
      <c r="N103" s="313">
        <f>N104+N110</f>
        <v>8877151.1613133699</v>
      </c>
      <c r="O103" s="313">
        <f>O104+O110</f>
        <v>1663547.1600000001</v>
      </c>
      <c r="P103" s="318"/>
      <c r="Q103" s="313">
        <f>Q104+Q110</f>
        <v>8745937.5199999996</v>
      </c>
      <c r="R103" s="313"/>
      <c r="S103" s="313">
        <f>S111</f>
        <v>2903328</v>
      </c>
      <c r="T103" s="313">
        <f>T104+T110+T111</f>
        <v>22189963.84131337</v>
      </c>
      <c r="U103" s="301">
        <f>U104+U110+U111</f>
        <v>22189963.84131337</v>
      </c>
      <c r="V103" s="301">
        <f>V104+V110+V111</f>
        <v>22189963.84131337</v>
      </c>
      <c r="W103" s="225">
        <v>7637084.2800000003</v>
      </c>
      <c r="X103" s="237">
        <f>W103-Q103</f>
        <v>-1108853.2399999993</v>
      </c>
      <c r="Y103" s="225">
        <f>X103/G110</f>
        <v>-8093.8192700729878</v>
      </c>
      <c r="AA103" s="225">
        <v>7421318.2800000003</v>
      </c>
      <c r="AB103" s="237">
        <f>AA103-Q103</f>
        <v>-1324619.2399999993</v>
      </c>
      <c r="AC103" s="225">
        <f>AB103/I110</f>
        <v>-9739.8473529411713</v>
      </c>
    </row>
    <row r="104" spans="1:29" ht="94.95" customHeight="1">
      <c r="A104" s="229" t="s">
        <v>246</v>
      </c>
      <c r="B104" s="241" t="s">
        <v>76</v>
      </c>
      <c r="C104" s="241"/>
      <c r="D104" s="295"/>
      <c r="E104" s="302"/>
      <c r="F104" s="302"/>
      <c r="G104" s="302"/>
      <c r="H104" s="302"/>
      <c r="I104" s="302"/>
      <c r="J104" s="299"/>
      <c r="K104" s="299"/>
      <c r="L104" s="311"/>
      <c r="M104" s="299">
        <f t="shared" si="33"/>
        <v>0</v>
      </c>
      <c r="N104" s="299">
        <f>SUM(N105:N111)</f>
        <v>8877151.1613133699</v>
      </c>
      <c r="O104" s="299">
        <f>SUM(O105:O111)</f>
        <v>1663547.1600000001</v>
      </c>
      <c r="P104" s="302"/>
      <c r="Q104" s="311">
        <f>SUM(Q105:Q107)</f>
        <v>6438583.5199999996</v>
      </c>
      <c r="R104" s="311"/>
      <c r="S104" s="311"/>
      <c r="T104" s="299">
        <f>SUM(T105:T109)</f>
        <v>16979281.84131337</v>
      </c>
      <c r="U104" s="299">
        <f>SUM(U105:U109)</f>
        <v>16979281.84131337</v>
      </c>
      <c r="V104" s="299">
        <f>SUM(V105:V109)</f>
        <v>16979281.84131337</v>
      </c>
      <c r="W104" s="237">
        <v>18749103.280000001</v>
      </c>
      <c r="Y104" s="237"/>
      <c r="AA104" s="237">
        <f>18749103.28+U111</f>
        <v>21652431.280000001</v>
      </c>
      <c r="AB104" s="237">
        <f>U103-AA104</f>
        <v>537532.56131336838</v>
      </c>
    </row>
    <row r="105" spans="1:29" ht="49.5" customHeight="1">
      <c r="A105" s="229"/>
      <c r="B105" s="246" t="s">
        <v>266</v>
      </c>
      <c r="C105" s="400" t="s">
        <v>269</v>
      </c>
      <c r="D105" s="295" t="s">
        <v>20</v>
      </c>
      <c r="E105" s="302">
        <v>40</v>
      </c>
      <c r="F105" s="302">
        <v>40</v>
      </c>
      <c r="G105" s="302">
        <v>31</v>
      </c>
      <c r="H105" s="302">
        <v>40</v>
      </c>
      <c r="I105" s="302">
        <v>40</v>
      </c>
      <c r="J105" s="299">
        <f>45831*1.00830081996</f>
        <v>46211.434879586763</v>
      </c>
      <c r="K105" s="299">
        <f>(12142.68)</f>
        <v>12142.68</v>
      </c>
      <c r="L105" s="311">
        <v>46996.959999999999</v>
      </c>
      <c r="M105" s="299">
        <f t="shared" si="33"/>
        <v>105351.07487958675</v>
      </c>
      <c r="N105" s="299">
        <f>G105*J105</f>
        <v>1432554.4812671896</v>
      </c>
      <c r="O105" s="299">
        <f>G105*K105</f>
        <v>376423.08</v>
      </c>
      <c r="P105" s="302"/>
      <c r="Q105" s="311">
        <f>G105*L105</f>
        <v>1456905.76</v>
      </c>
      <c r="R105" s="311"/>
      <c r="S105" s="311"/>
      <c r="T105" s="299">
        <f>SUM(N105:Q105)</f>
        <v>3265883.3212671895</v>
      </c>
      <c r="U105" s="299">
        <f t="shared" ref="U105:V107" si="39">T105</f>
        <v>3265883.3212671895</v>
      </c>
      <c r="V105" s="299">
        <f t="shared" si="39"/>
        <v>3265883.3212671895</v>
      </c>
    </row>
    <row r="106" spans="1:29" ht="54.75" customHeight="1">
      <c r="A106" s="246"/>
      <c r="B106" s="246" t="s">
        <v>264</v>
      </c>
      <c r="C106" s="402"/>
      <c r="D106" s="295" t="s">
        <v>20</v>
      </c>
      <c r="E106" s="302">
        <v>20</v>
      </c>
      <c r="F106" s="302">
        <v>20</v>
      </c>
      <c r="G106" s="302"/>
      <c r="H106" s="302">
        <v>20</v>
      </c>
      <c r="I106" s="302">
        <v>20</v>
      </c>
      <c r="J106" s="299">
        <f>36323.51</f>
        <v>36323.51</v>
      </c>
      <c r="K106" s="299">
        <f>(12142.68)</f>
        <v>12142.68</v>
      </c>
      <c r="L106" s="311">
        <v>46996.959999999999</v>
      </c>
      <c r="M106" s="299">
        <f t="shared" si="33"/>
        <v>95463.15</v>
      </c>
      <c r="N106" s="299">
        <f>G106*J106</f>
        <v>0</v>
      </c>
      <c r="O106" s="299">
        <f>G106*K106</f>
        <v>0</v>
      </c>
      <c r="P106" s="302"/>
      <c r="Q106" s="311">
        <f>G106*L106</f>
        <v>0</v>
      </c>
      <c r="R106" s="311"/>
      <c r="S106" s="311"/>
      <c r="T106" s="299">
        <f>SUM(N106:Q106)</f>
        <v>0</v>
      </c>
      <c r="U106" s="299">
        <f t="shared" si="39"/>
        <v>0</v>
      </c>
      <c r="V106" s="299">
        <f t="shared" si="39"/>
        <v>0</v>
      </c>
      <c r="X106" s="237">
        <f>W104-U103</f>
        <v>-3440860.5613133684</v>
      </c>
    </row>
    <row r="107" spans="1:29" ht="133.5" customHeight="1">
      <c r="A107" s="246"/>
      <c r="B107" s="246" t="s">
        <v>264</v>
      </c>
      <c r="C107" s="229" t="s">
        <v>268</v>
      </c>
      <c r="D107" s="295" t="s">
        <v>20</v>
      </c>
      <c r="E107" s="302">
        <v>76</v>
      </c>
      <c r="F107" s="302">
        <v>76</v>
      </c>
      <c r="G107" s="302">
        <v>106</v>
      </c>
      <c r="H107" s="302">
        <v>76</v>
      </c>
      <c r="I107" s="302">
        <v>76</v>
      </c>
      <c r="J107" s="303">
        <f>69653.86*1.00830081996</f>
        <v>70232.044151379057</v>
      </c>
      <c r="K107" s="299">
        <f>(12142.68)</f>
        <v>12142.68</v>
      </c>
      <c r="L107" s="311">
        <v>46996.959999999999</v>
      </c>
      <c r="M107" s="299">
        <f t="shared" si="33"/>
        <v>129371.68415137904</v>
      </c>
      <c r="N107" s="299">
        <f>G107*J107</f>
        <v>7444596.6800461803</v>
      </c>
      <c r="O107" s="299">
        <f>G107*K107</f>
        <v>1287124.08</v>
      </c>
      <c r="P107" s="302"/>
      <c r="Q107" s="311">
        <f>G107*L107</f>
        <v>4981677.76</v>
      </c>
      <c r="R107" s="311"/>
      <c r="S107" s="311"/>
      <c r="T107" s="299">
        <f>SUM(N107:Q107)</f>
        <v>13713398.52004618</v>
      </c>
      <c r="U107" s="299">
        <f t="shared" si="39"/>
        <v>13713398.52004618</v>
      </c>
      <c r="V107" s="299">
        <f t="shared" si="39"/>
        <v>13713398.52004618</v>
      </c>
    </row>
    <row r="108" spans="1:29" ht="45.75" hidden="1" customHeight="1">
      <c r="A108" s="246"/>
      <c r="B108" s="241" t="s">
        <v>253</v>
      </c>
      <c r="C108" s="246" t="s">
        <v>226</v>
      </c>
      <c r="D108" s="295"/>
      <c r="E108" s="302"/>
      <c r="F108" s="302"/>
      <c r="G108" s="302"/>
      <c r="H108" s="302"/>
      <c r="I108" s="302"/>
      <c r="J108" s="299"/>
      <c r="K108" s="299">
        <f t="shared" ref="K108:K109" si="40">(12142.68*2.133649)</f>
        <v>25908.217039320003</v>
      </c>
      <c r="L108" s="311"/>
      <c r="M108" s="299">
        <f t="shared" si="33"/>
        <v>25908.217039320003</v>
      </c>
      <c r="N108" s="302"/>
      <c r="O108" s="299"/>
      <c r="P108" s="302"/>
      <c r="Q108" s="311"/>
      <c r="R108" s="311"/>
      <c r="S108" s="311"/>
      <c r="T108" s="299">
        <f>N108</f>
        <v>0</v>
      </c>
      <c r="U108" s="299">
        <f t="shared" ref="U108:V110" si="41">T108</f>
        <v>0</v>
      </c>
      <c r="V108" s="299">
        <f t="shared" si="41"/>
        <v>0</v>
      </c>
    </row>
    <row r="109" spans="1:29" hidden="1">
      <c r="A109" s="246"/>
      <c r="B109" s="241" t="s">
        <v>256</v>
      </c>
      <c r="C109" s="246"/>
      <c r="D109" s="295"/>
      <c r="E109" s="302"/>
      <c r="F109" s="302"/>
      <c r="G109" s="302"/>
      <c r="H109" s="302"/>
      <c r="I109" s="302"/>
      <c r="J109" s="299"/>
      <c r="K109" s="299">
        <f t="shared" si="40"/>
        <v>25908.217039320003</v>
      </c>
      <c r="L109" s="311"/>
      <c r="M109" s="299">
        <f t="shared" si="33"/>
        <v>25908.217039320003</v>
      </c>
      <c r="N109" s="302"/>
      <c r="O109" s="299"/>
      <c r="P109" s="302"/>
      <c r="Q109" s="311"/>
      <c r="R109" s="311"/>
      <c r="S109" s="311"/>
      <c r="T109" s="299">
        <f>O109</f>
        <v>0</v>
      </c>
      <c r="U109" s="299">
        <f>T109</f>
        <v>0</v>
      </c>
      <c r="V109" s="299">
        <f>U109</f>
        <v>0</v>
      </c>
    </row>
    <row r="110" spans="1:29" ht="64.5" customHeight="1">
      <c r="A110" s="229" t="s">
        <v>247</v>
      </c>
      <c r="B110" s="246" t="s">
        <v>28</v>
      </c>
      <c r="C110" s="246" t="s">
        <v>219</v>
      </c>
      <c r="D110" s="295" t="s">
        <v>20</v>
      </c>
      <c r="E110" s="302">
        <f>E107+E106+E105</f>
        <v>136</v>
      </c>
      <c r="F110" s="302">
        <f>F107+F106+F105</f>
        <v>136</v>
      </c>
      <c r="G110" s="302">
        <f>G107+G106+G105</f>
        <v>137</v>
      </c>
      <c r="H110" s="302">
        <f>H107+H106+H105</f>
        <v>136</v>
      </c>
      <c r="I110" s="302">
        <f>I107+I106+I105</f>
        <v>136</v>
      </c>
      <c r="J110" s="299"/>
      <c r="K110" s="299"/>
      <c r="L110" s="311">
        <v>16842</v>
      </c>
      <c r="M110" s="299">
        <f t="shared" si="33"/>
        <v>16842</v>
      </c>
      <c r="N110" s="302">
        <f>G110*J110</f>
        <v>0</v>
      </c>
      <c r="O110" s="299">
        <f>G110*K110</f>
        <v>0</v>
      </c>
      <c r="P110" s="302"/>
      <c r="Q110" s="311">
        <f>G110*L110</f>
        <v>2307354</v>
      </c>
      <c r="R110" s="311"/>
      <c r="S110" s="311"/>
      <c r="T110" s="299">
        <f>SUM(N110:Q110)</f>
        <v>2307354</v>
      </c>
      <c r="U110" s="299">
        <f t="shared" si="41"/>
        <v>2307354</v>
      </c>
      <c r="V110" s="299">
        <f t="shared" si="41"/>
        <v>2307354</v>
      </c>
    </row>
    <row r="111" spans="1:29" ht="20.399999999999999" customHeight="1">
      <c r="A111" s="246"/>
      <c r="B111" s="246" t="s">
        <v>28</v>
      </c>
      <c r="C111" s="246" t="s">
        <v>220</v>
      </c>
      <c r="D111" s="295"/>
      <c r="E111" s="302"/>
      <c r="F111" s="302"/>
      <c r="G111" s="302">
        <v>136</v>
      </c>
      <c r="H111" s="302">
        <v>136</v>
      </c>
      <c r="I111" s="302">
        <v>136</v>
      </c>
      <c r="J111" s="299"/>
      <c r="K111" s="299"/>
      <c r="L111" s="311">
        <v>21348</v>
      </c>
      <c r="M111" s="299">
        <f t="shared" si="33"/>
        <v>21348</v>
      </c>
      <c r="N111" s="302"/>
      <c r="O111" s="299"/>
      <c r="P111" s="302"/>
      <c r="Q111" s="311"/>
      <c r="R111" s="311"/>
      <c r="S111" s="311">
        <f>G111*L111</f>
        <v>2903328</v>
      </c>
      <c r="T111" s="299">
        <f>S111</f>
        <v>2903328</v>
      </c>
      <c r="U111" s="299">
        <f>S111</f>
        <v>2903328</v>
      </c>
      <c r="V111" s="299">
        <f>S111</f>
        <v>2903328</v>
      </c>
    </row>
    <row r="112" spans="1:29" s="251" customFormat="1" ht="25.95" customHeight="1">
      <c r="A112" s="298" t="s">
        <v>71</v>
      </c>
      <c r="B112" s="298"/>
      <c r="C112" s="298"/>
      <c r="D112" s="304"/>
      <c r="E112" s="305"/>
      <c r="F112" s="305"/>
      <c r="G112" s="305"/>
      <c r="H112" s="305"/>
      <c r="I112" s="305"/>
      <c r="J112" s="301"/>
      <c r="K112" s="299"/>
      <c r="L112" s="313"/>
      <c r="M112" s="299">
        <f t="shared" si="33"/>
        <v>0</v>
      </c>
      <c r="N112" s="313">
        <f>N113+N119</f>
        <v>15281879.140000001</v>
      </c>
      <c r="O112" s="313">
        <f>O113+O119</f>
        <v>2792816.4</v>
      </c>
      <c r="P112" s="313"/>
      <c r="Q112" s="313">
        <f>Q113+Q119+Q116</f>
        <v>14682960.799999999</v>
      </c>
      <c r="R112" s="313"/>
      <c r="S112" s="313">
        <f>S120</f>
        <v>4931388</v>
      </c>
      <c r="T112" s="313">
        <f>T113+T119+T120</f>
        <v>37689044.340000004</v>
      </c>
      <c r="U112" s="301">
        <f>U113+U119+U120</f>
        <v>37705886.340000004</v>
      </c>
      <c r="V112" s="301">
        <f>V113+V119+V120</f>
        <v>37705886.340000004</v>
      </c>
      <c r="W112" s="251">
        <v>12135022</v>
      </c>
      <c r="X112" s="252">
        <f>W112-Q112</f>
        <v>-2547938.7999999989</v>
      </c>
      <c r="Y112" s="251">
        <f>X112/G119</f>
        <v>-11077.99478260869</v>
      </c>
      <c r="AA112" s="251">
        <v>12524345</v>
      </c>
      <c r="AB112" s="252">
        <f>AA112-Q112</f>
        <v>-2158615.7999999989</v>
      </c>
      <c r="AC112" s="251">
        <f>AB112/I119</f>
        <v>-9344.6571428571388</v>
      </c>
    </row>
    <row r="113" spans="1:28" ht="85.5" customHeight="1">
      <c r="A113" s="229" t="s">
        <v>246</v>
      </c>
      <c r="B113" s="241" t="s">
        <v>76</v>
      </c>
      <c r="C113" s="241"/>
      <c r="D113" s="295"/>
      <c r="E113" s="302"/>
      <c r="F113" s="302"/>
      <c r="G113" s="302"/>
      <c r="H113" s="302"/>
      <c r="I113" s="302"/>
      <c r="J113" s="299"/>
      <c r="K113" s="299"/>
      <c r="L113" s="311"/>
      <c r="M113" s="299">
        <f t="shared" si="33"/>
        <v>0</v>
      </c>
      <c r="N113" s="299">
        <f>SUM(N114:N120)</f>
        <v>15281879.140000001</v>
      </c>
      <c r="O113" s="299">
        <f>SUM(O114:O120)</f>
        <v>2792816.4</v>
      </c>
      <c r="P113" s="299"/>
      <c r="Q113" s="311">
        <f>SUM(Q114:Q115)</f>
        <v>10809300.799999999</v>
      </c>
      <c r="R113" s="311"/>
      <c r="S113" s="311"/>
      <c r="T113" s="299">
        <f>SUM(T114:T118)</f>
        <v>28883996.34</v>
      </c>
      <c r="U113" s="299">
        <f>SUM(U114:U118)</f>
        <v>28883996.34</v>
      </c>
      <c r="V113" s="299">
        <f>SUM(V114:V118)</f>
        <v>28883996.34</v>
      </c>
      <c r="W113" s="237">
        <v>33911273</v>
      </c>
      <c r="AA113" s="237">
        <f>33911273+U120</f>
        <v>38842661</v>
      </c>
      <c r="AB113" s="237">
        <f>U112-AA113</f>
        <v>-1136774.6599999964</v>
      </c>
    </row>
    <row r="114" spans="1:28" ht="96.6">
      <c r="A114" s="229"/>
      <c r="B114" s="246" t="s">
        <v>266</v>
      </c>
      <c r="C114" s="229" t="s">
        <v>273</v>
      </c>
      <c r="D114" s="295" t="s">
        <v>20</v>
      </c>
      <c r="E114" s="302">
        <v>40</v>
      </c>
      <c r="F114" s="302">
        <v>40</v>
      </c>
      <c r="G114" s="302">
        <v>31</v>
      </c>
      <c r="H114" s="302">
        <v>40</v>
      </c>
      <c r="I114" s="302">
        <v>40</v>
      </c>
      <c r="J114" s="299">
        <f>45831</f>
        <v>45831</v>
      </c>
      <c r="K114" s="299">
        <f>(12142.68)</f>
        <v>12142.68</v>
      </c>
      <c r="L114" s="311">
        <v>46996.959999999999</v>
      </c>
      <c r="M114" s="299">
        <f t="shared" si="33"/>
        <v>104970.64</v>
      </c>
      <c r="N114" s="299">
        <f>G114*J114</f>
        <v>1420761</v>
      </c>
      <c r="O114" s="299">
        <f>G114*K114</f>
        <v>376423.08</v>
      </c>
      <c r="P114" s="302"/>
      <c r="Q114" s="311">
        <f>G114*L114</f>
        <v>1456905.76</v>
      </c>
      <c r="R114" s="311"/>
      <c r="S114" s="311"/>
      <c r="T114" s="299">
        <f t="shared" ref="T114:T119" si="42">SUM(N114:Q114)</f>
        <v>3254089.84</v>
      </c>
      <c r="U114" s="299">
        <f>T114</f>
        <v>3254089.84</v>
      </c>
      <c r="V114" s="299">
        <f t="shared" ref="V114:V119" si="43">U114</f>
        <v>3254089.84</v>
      </c>
      <c r="X114" s="237">
        <f>W113-U112</f>
        <v>-3794613.3400000036</v>
      </c>
    </row>
    <row r="115" spans="1:28" ht="138.75" customHeight="1">
      <c r="A115" s="246"/>
      <c r="B115" s="246" t="s">
        <v>264</v>
      </c>
      <c r="C115" s="229" t="s">
        <v>275</v>
      </c>
      <c r="D115" s="295" t="s">
        <v>20</v>
      </c>
      <c r="E115" s="302">
        <v>191</v>
      </c>
      <c r="F115" s="302">
        <v>191</v>
      </c>
      <c r="G115" s="302">
        <v>199</v>
      </c>
      <c r="H115" s="302">
        <v>191</v>
      </c>
      <c r="I115" s="302">
        <v>191</v>
      </c>
      <c r="J115" s="303">
        <v>69653.86</v>
      </c>
      <c r="K115" s="299">
        <f t="shared" ref="K115:K117" si="44">(12142.68)</f>
        <v>12142.68</v>
      </c>
      <c r="L115" s="311">
        <v>46996.959999999999</v>
      </c>
      <c r="M115" s="299">
        <f t="shared" si="33"/>
        <v>128793.5</v>
      </c>
      <c r="N115" s="299">
        <f>G115*J115</f>
        <v>13861118.140000001</v>
      </c>
      <c r="O115" s="299">
        <f>G115*K115</f>
        <v>2416393.3199999998</v>
      </c>
      <c r="P115" s="302"/>
      <c r="Q115" s="311">
        <f>G115*L115</f>
        <v>9352395.0399999991</v>
      </c>
      <c r="R115" s="311"/>
      <c r="S115" s="311"/>
      <c r="T115" s="299">
        <f t="shared" si="42"/>
        <v>25629906.5</v>
      </c>
      <c r="U115" s="299">
        <f>T115</f>
        <v>25629906.5</v>
      </c>
      <c r="V115" s="299">
        <f t="shared" si="43"/>
        <v>25629906.5</v>
      </c>
    </row>
    <row r="116" spans="1:28" s="226" customFormat="1" hidden="1">
      <c r="A116" s="295"/>
      <c r="B116" s="304" t="s">
        <v>258</v>
      </c>
      <c r="C116" s="295" t="s">
        <v>219</v>
      </c>
      <c r="D116" s="295"/>
      <c r="E116" s="302"/>
      <c r="F116" s="302"/>
      <c r="G116" s="302"/>
      <c r="H116" s="302"/>
      <c r="I116" s="302"/>
      <c r="J116" s="299"/>
      <c r="K116" s="299">
        <f t="shared" si="44"/>
        <v>12142.68</v>
      </c>
      <c r="L116" s="311"/>
      <c r="M116" s="299">
        <f t="shared" si="33"/>
        <v>12142.68</v>
      </c>
      <c r="N116" s="302"/>
      <c r="O116" s="299"/>
      <c r="P116" s="302"/>
      <c r="Q116" s="311"/>
      <c r="R116" s="311"/>
      <c r="S116" s="311"/>
      <c r="T116" s="299">
        <f>Q116</f>
        <v>0</v>
      </c>
      <c r="U116" s="299">
        <f>T116</f>
        <v>0</v>
      </c>
      <c r="V116" s="299">
        <f t="shared" si="43"/>
        <v>0</v>
      </c>
    </row>
    <row r="117" spans="1:28" ht="43.5" hidden="1" customHeight="1">
      <c r="A117" s="246"/>
      <c r="B117" s="241" t="s">
        <v>253</v>
      </c>
      <c r="C117" s="246" t="s">
        <v>226</v>
      </c>
      <c r="D117" s="295"/>
      <c r="E117" s="302"/>
      <c r="F117" s="302"/>
      <c r="G117" s="302"/>
      <c r="H117" s="302"/>
      <c r="I117" s="302"/>
      <c r="J117" s="299"/>
      <c r="K117" s="299">
        <f t="shared" si="44"/>
        <v>12142.68</v>
      </c>
      <c r="L117" s="311"/>
      <c r="M117" s="299">
        <f t="shared" si="33"/>
        <v>12142.68</v>
      </c>
      <c r="N117" s="302"/>
      <c r="O117" s="299"/>
      <c r="P117" s="302"/>
      <c r="Q117" s="311"/>
      <c r="R117" s="311"/>
      <c r="S117" s="311"/>
      <c r="T117" s="299">
        <f>N117</f>
        <v>0</v>
      </c>
      <c r="U117" s="299">
        <f>T117</f>
        <v>0</v>
      </c>
      <c r="V117" s="299">
        <f t="shared" si="43"/>
        <v>0</v>
      </c>
    </row>
    <row r="118" spans="1:28" ht="18.75" hidden="1" customHeight="1">
      <c r="A118" s="246"/>
      <c r="B118" s="241" t="s">
        <v>256</v>
      </c>
      <c r="C118" s="246"/>
      <c r="D118" s="295"/>
      <c r="E118" s="302"/>
      <c r="F118" s="302"/>
      <c r="G118" s="302"/>
      <c r="H118" s="302"/>
      <c r="I118" s="302"/>
      <c r="J118" s="299"/>
      <c r="K118" s="299">
        <f t="shared" ref="K118" si="45">(12142.68*1.802017)+6356.14+938.636+149.97-0.09377-158.3333</f>
        <v>29167.634715560001</v>
      </c>
      <c r="L118" s="311"/>
      <c r="M118" s="299">
        <f t="shared" si="33"/>
        <v>29167.634715560001</v>
      </c>
      <c r="N118" s="302"/>
      <c r="O118" s="299"/>
      <c r="P118" s="302"/>
      <c r="Q118" s="311"/>
      <c r="R118" s="311"/>
      <c r="S118" s="311"/>
      <c r="T118" s="299">
        <f>O118</f>
        <v>0</v>
      </c>
      <c r="U118" s="299">
        <f>T118</f>
        <v>0</v>
      </c>
      <c r="V118" s="299">
        <f t="shared" si="43"/>
        <v>0</v>
      </c>
    </row>
    <row r="119" spans="1:28" ht="62.25" customHeight="1">
      <c r="A119" s="229" t="s">
        <v>247</v>
      </c>
      <c r="B119" s="246" t="s">
        <v>28</v>
      </c>
      <c r="C119" s="246" t="s">
        <v>219</v>
      </c>
      <c r="D119" s="295" t="s">
        <v>20</v>
      </c>
      <c r="E119" s="302">
        <f>E114+E115</f>
        <v>231</v>
      </c>
      <c r="F119" s="302">
        <f t="shared" ref="F119:G119" si="46">F114+F115</f>
        <v>231</v>
      </c>
      <c r="G119" s="302">
        <f t="shared" si="46"/>
        <v>230</v>
      </c>
      <c r="H119" s="302">
        <f>H114+H115</f>
        <v>231</v>
      </c>
      <c r="I119" s="302">
        <f>I114+I115</f>
        <v>231</v>
      </c>
      <c r="J119" s="299"/>
      <c r="K119" s="299"/>
      <c r="L119" s="311">
        <v>16842</v>
      </c>
      <c r="M119" s="299">
        <f t="shared" si="33"/>
        <v>16842</v>
      </c>
      <c r="N119" s="302"/>
      <c r="O119" s="299">
        <f>G119*K119</f>
        <v>0</v>
      </c>
      <c r="P119" s="302"/>
      <c r="Q119" s="311">
        <f>G119*L119</f>
        <v>3873660</v>
      </c>
      <c r="R119" s="311"/>
      <c r="S119" s="311"/>
      <c r="T119" s="299">
        <f t="shared" si="42"/>
        <v>3873660</v>
      </c>
      <c r="U119" s="299">
        <f>H119*M119</f>
        <v>3890502</v>
      </c>
      <c r="V119" s="299">
        <f t="shared" si="43"/>
        <v>3890502</v>
      </c>
    </row>
    <row r="120" spans="1:28" ht="21.6" customHeight="1">
      <c r="A120" s="246"/>
      <c r="B120" s="246" t="s">
        <v>28</v>
      </c>
      <c r="C120" s="246" t="s">
        <v>220</v>
      </c>
      <c r="D120" s="295"/>
      <c r="E120" s="302"/>
      <c r="F120" s="302"/>
      <c r="G120" s="302">
        <v>231</v>
      </c>
      <c r="H120" s="302">
        <v>231</v>
      </c>
      <c r="I120" s="302">
        <v>231</v>
      </c>
      <c r="J120" s="299"/>
      <c r="K120" s="299"/>
      <c r="L120" s="311">
        <v>21348</v>
      </c>
      <c r="M120" s="299">
        <f t="shared" si="33"/>
        <v>21348</v>
      </c>
      <c r="N120" s="302"/>
      <c r="O120" s="299"/>
      <c r="P120" s="302"/>
      <c r="Q120" s="311"/>
      <c r="R120" s="311"/>
      <c r="S120" s="311">
        <f>G120*L120</f>
        <v>4931388</v>
      </c>
      <c r="T120" s="299">
        <f>S120</f>
        <v>4931388</v>
      </c>
      <c r="U120" s="299">
        <f>S120</f>
        <v>4931388</v>
      </c>
      <c r="V120" s="299">
        <f>S120</f>
        <v>4931388</v>
      </c>
    </row>
    <row r="121" spans="1:28" ht="22.2" customHeight="1">
      <c r="A121" s="396" t="s">
        <v>232</v>
      </c>
      <c r="B121" s="397"/>
      <c r="C121" s="397"/>
      <c r="D121" s="397"/>
      <c r="E121" s="397"/>
      <c r="F121" s="397"/>
      <c r="G121" s="397"/>
      <c r="H121" s="397"/>
      <c r="I121" s="397"/>
      <c r="J121" s="397"/>
      <c r="K121" s="397"/>
      <c r="L121" s="397"/>
      <c r="M121" s="398"/>
      <c r="N121" s="301">
        <f>N13+N24+N35+N46+N57+N66+N77+N88+N97+N103+N112</f>
        <v>111787852.75279537</v>
      </c>
      <c r="O121" s="301">
        <f>O13+O24+O35+O46+O57+O66+O77+O88+O97+O103+O112</f>
        <v>19513286.760000002</v>
      </c>
      <c r="P121" s="301">
        <f>P13+P24+P35+P46+P57+P66+P77+P88+P97+P103+P112+1</f>
        <v>1</v>
      </c>
      <c r="Q121" s="313">
        <f>Q13+Q24+Q35+Q46+Q57+Q66+Q77+Q88+Q97+Q103+Q112</f>
        <v>105386122.58999997</v>
      </c>
      <c r="R121" s="313">
        <f>R13+R24+R35+R46+R57+R66+R77+R88+R97+R103+R112+1</f>
        <v>1</v>
      </c>
      <c r="S121" s="313">
        <f>S13+S24+S35+S46+S57+S66+S77+S88+S97+S103+S112</f>
        <v>34519716</v>
      </c>
      <c r="T121" s="301">
        <f>T13+T24+T35+T46+T57+T66+T77+T88+T97+T103+T112</f>
        <v>271206978.10279536</v>
      </c>
      <c r="U121" s="301">
        <f>U13+U24+U35+U46+U57+U66+U77+U88+U97+U103+U112</f>
        <v>271223820.10279536</v>
      </c>
      <c r="V121" s="301">
        <f>V13+V24+V35+V46+V57+V66+V77+V88+V97+V103+V112</f>
        <v>271223820.10279536</v>
      </c>
      <c r="W121" s="237"/>
    </row>
    <row r="122" spans="1:28">
      <c r="A122" s="225" t="s">
        <v>282</v>
      </c>
      <c r="C122" s="253"/>
      <c r="D122" s="254"/>
      <c r="E122" s="254"/>
      <c r="F122" s="254"/>
      <c r="G122" s="254"/>
      <c r="H122" s="254"/>
      <c r="I122" s="254"/>
      <c r="J122" s="254"/>
      <c r="K122" s="254"/>
      <c r="L122" s="253"/>
      <c r="M122" s="254"/>
      <c r="N122" s="255"/>
      <c r="O122" s="255"/>
      <c r="P122" s="255"/>
      <c r="Q122" s="314"/>
      <c r="R122" s="314"/>
      <c r="S122" s="314"/>
      <c r="T122" s="255"/>
      <c r="U122" s="254"/>
      <c r="V122" s="255"/>
    </row>
    <row r="123" spans="1:28">
      <c r="A123" s="225" t="s">
        <v>178</v>
      </c>
      <c r="N123" s="278"/>
      <c r="P123" s="256"/>
      <c r="Q123" s="237"/>
      <c r="U123" s="256"/>
      <c r="V123" s="255"/>
    </row>
    <row r="124" spans="1:28">
      <c r="N124" s="254"/>
      <c r="Q124" s="237"/>
      <c r="S124" s="237"/>
      <c r="T124" s="256"/>
      <c r="U124" s="256"/>
    </row>
    <row r="125" spans="1:28">
      <c r="N125" s="256"/>
      <c r="Q125" s="237"/>
      <c r="S125" s="237"/>
      <c r="T125" s="256"/>
      <c r="U125" s="256"/>
      <c r="V125" s="256"/>
    </row>
    <row r="126" spans="1:28">
      <c r="N126" s="256"/>
      <c r="O126" s="256"/>
      <c r="Q126" s="237"/>
      <c r="R126" s="237"/>
      <c r="S126" s="237"/>
      <c r="U126" s="256"/>
      <c r="V126" s="256"/>
    </row>
    <row r="127" spans="1:28">
      <c r="O127" s="256"/>
      <c r="Q127" s="237"/>
      <c r="T127" s="256"/>
    </row>
    <row r="128" spans="1:28">
      <c r="N128" s="256"/>
      <c r="Q128" s="237"/>
      <c r="U128" s="256"/>
    </row>
    <row r="129" spans="1:26" s="226" customFormat="1" hidden="1">
      <c r="A129" s="225"/>
      <c r="B129" s="225"/>
      <c r="C129" s="225"/>
      <c r="L129" s="225"/>
      <c r="Q129" s="237"/>
      <c r="R129" s="225"/>
      <c r="S129" s="225"/>
      <c r="W129" s="225"/>
      <c r="X129" s="225"/>
      <c r="Y129" s="225"/>
    </row>
    <row r="130" spans="1:26" hidden="1"/>
    <row r="131" spans="1:26" hidden="1"/>
    <row r="132" spans="1:26" ht="409.6" hidden="1">
      <c r="B132" s="257"/>
      <c r="C132" s="246" t="s">
        <v>266</v>
      </c>
      <c r="D132" s="230" t="s">
        <v>264</v>
      </c>
      <c r="E132" s="258" t="s">
        <v>263</v>
      </c>
      <c r="F132" s="259"/>
      <c r="G132" s="258" t="s">
        <v>263</v>
      </c>
      <c r="H132" s="230" t="s">
        <v>264</v>
      </c>
      <c r="I132" s="230" t="s">
        <v>265</v>
      </c>
      <c r="J132" s="236" t="s">
        <v>310</v>
      </c>
      <c r="K132" s="236" t="s">
        <v>287</v>
      </c>
      <c r="L132" s="229" t="s">
        <v>181</v>
      </c>
      <c r="M132" s="230" t="s">
        <v>181</v>
      </c>
      <c r="N132" s="236"/>
      <c r="O132" s="260"/>
      <c r="P132" s="260"/>
      <c r="Q132" s="248"/>
      <c r="R132" s="257"/>
      <c r="S132" s="257"/>
      <c r="T132" s="260"/>
      <c r="U132" s="254"/>
      <c r="V132" s="254"/>
      <c r="W132" s="253"/>
      <c r="X132" s="253"/>
      <c r="Y132" s="253"/>
      <c r="Z132" s="253"/>
    </row>
    <row r="133" spans="1:26" hidden="1">
      <c r="A133" s="261">
        <v>4</v>
      </c>
      <c r="B133" s="262" t="s">
        <v>311</v>
      </c>
      <c r="C133" s="384" t="s">
        <v>305</v>
      </c>
      <c r="D133" s="385"/>
      <c r="E133" s="385"/>
      <c r="F133" s="385"/>
      <c r="G133" s="386"/>
      <c r="H133" s="235" t="s">
        <v>307</v>
      </c>
      <c r="I133" s="235" t="s">
        <v>308</v>
      </c>
      <c r="J133" s="387" t="s">
        <v>309</v>
      </c>
      <c r="K133" s="388"/>
      <c r="L133" s="246" t="s">
        <v>312</v>
      </c>
      <c r="M133" s="235" t="s">
        <v>313</v>
      </c>
      <c r="N133" s="279"/>
      <c r="O133" s="263"/>
      <c r="P133" s="263"/>
      <c r="Q133" s="315"/>
      <c r="R133" s="315"/>
      <c r="S133" s="316"/>
      <c r="T133" s="235"/>
      <c r="U133" s="264"/>
      <c r="V133" s="264"/>
      <c r="W133" s="253"/>
      <c r="X133" s="253"/>
      <c r="Y133" s="253"/>
      <c r="Z133" s="253"/>
    </row>
    <row r="134" spans="1:26" hidden="1">
      <c r="A134" s="261"/>
      <c r="B134" s="265" t="s">
        <v>306</v>
      </c>
      <c r="C134" s="248">
        <v>19</v>
      </c>
      <c r="D134" s="266">
        <v>60</v>
      </c>
      <c r="E134" s="266"/>
      <c r="F134" s="242"/>
      <c r="G134" s="266">
        <v>22</v>
      </c>
      <c r="H134" s="267">
        <v>17</v>
      </c>
      <c r="I134" s="267"/>
      <c r="J134" s="236"/>
      <c r="K134" s="277"/>
      <c r="L134" s="257"/>
      <c r="M134" s="260"/>
      <c r="N134" s="260"/>
      <c r="O134" s="260"/>
      <c r="P134" s="260"/>
      <c r="Q134" s="257"/>
      <c r="R134" s="317"/>
      <c r="S134" s="257"/>
      <c r="T134" s="260"/>
      <c r="U134" s="254"/>
      <c r="V134" s="254"/>
      <c r="W134" s="253"/>
      <c r="X134" s="253"/>
      <c r="Y134" s="253"/>
      <c r="Z134" s="253"/>
    </row>
    <row r="135" spans="1:26" hidden="1">
      <c r="A135" s="261"/>
      <c r="B135" s="243" t="s">
        <v>225</v>
      </c>
      <c r="C135" s="257"/>
      <c r="D135" s="260"/>
      <c r="E135" s="260"/>
      <c r="F135" s="260"/>
      <c r="G135" s="260"/>
      <c r="H135" s="269"/>
      <c r="I135" s="269"/>
      <c r="J135" s="269"/>
      <c r="K135" s="260"/>
      <c r="L135" s="257"/>
      <c r="M135" s="260"/>
      <c r="N135" s="268"/>
      <c r="O135" s="268"/>
      <c r="P135" s="260"/>
      <c r="Q135" s="317"/>
      <c r="R135" s="257"/>
      <c r="S135" s="317"/>
      <c r="T135" s="268"/>
      <c r="U135" s="254"/>
      <c r="V135" s="270"/>
      <c r="W135" s="253"/>
      <c r="X135" s="253"/>
      <c r="Y135" s="253"/>
      <c r="Z135" s="253"/>
    </row>
    <row r="136" spans="1:26" hidden="1">
      <c r="B136" s="243" t="s">
        <v>225</v>
      </c>
      <c r="C136" s="257"/>
      <c r="D136" s="260"/>
      <c r="E136" s="260"/>
      <c r="F136" s="260"/>
      <c r="G136" s="260"/>
      <c r="H136" s="260"/>
      <c r="I136" s="260"/>
      <c r="J136" s="260"/>
      <c r="K136" s="260"/>
      <c r="L136" s="257"/>
      <c r="M136" s="260"/>
      <c r="N136" s="268"/>
      <c r="O136" s="268"/>
      <c r="P136" s="260"/>
      <c r="Q136" s="257"/>
      <c r="R136" s="257"/>
      <c r="S136" s="317"/>
      <c r="T136" s="268"/>
      <c r="U136" s="254"/>
      <c r="V136" s="254"/>
      <c r="W136" s="253"/>
      <c r="X136" s="253"/>
      <c r="Y136" s="253"/>
      <c r="Z136" s="253"/>
    </row>
    <row r="137" spans="1:26" ht="27.6" hidden="1">
      <c r="B137" s="229" t="s">
        <v>283</v>
      </c>
      <c r="C137" s="257"/>
      <c r="D137" s="260"/>
      <c r="E137" s="260"/>
      <c r="F137" s="260"/>
      <c r="G137" s="260"/>
      <c r="H137" s="260"/>
      <c r="I137" s="260"/>
      <c r="J137" s="260"/>
      <c r="K137" s="260"/>
      <c r="L137" s="257"/>
      <c r="M137" s="260"/>
      <c r="N137" s="268"/>
      <c r="O137" s="260"/>
      <c r="P137" s="260"/>
      <c r="Q137" s="257"/>
      <c r="R137" s="257"/>
      <c r="S137" s="257"/>
      <c r="T137" s="260"/>
      <c r="U137" s="254"/>
      <c r="V137" s="254"/>
      <c r="W137" s="253"/>
      <c r="X137" s="253"/>
      <c r="Y137" s="253"/>
      <c r="Z137" s="253"/>
    </row>
    <row r="138" spans="1:26" ht="55.2" hidden="1">
      <c r="B138" s="250" t="s">
        <v>288</v>
      </c>
      <c r="C138" s="257"/>
      <c r="D138" s="260"/>
      <c r="E138" s="260"/>
      <c r="F138" s="260"/>
      <c r="G138" s="260"/>
      <c r="H138" s="260"/>
      <c r="I138" s="260"/>
      <c r="J138" s="260"/>
      <c r="K138" s="260"/>
      <c r="L138" s="257"/>
      <c r="M138" s="260"/>
      <c r="N138" s="271"/>
      <c r="O138" s="260"/>
      <c r="P138" s="271"/>
      <c r="Q138" s="257"/>
      <c r="R138" s="257"/>
      <c r="S138" s="257"/>
      <c r="T138" s="260"/>
      <c r="U138" s="254"/>
      <c r="V138" s="254"/>
      <c r="W138" s="253"/>
      <c r="X138" s="253"/>
      <c r="Y138" s="253"/>
      <c r="Z138" s="253"/>
    </row>
    <row r="139" spans="1:26" ht="41.4" hidden="1">
      <c r="B139" s="250" t="s">
        <v>289</v>
      </c>
      <c r="C139" s="257"/>
      <c r="D139" s="260"/>
      <c r="E139" s="260"/>
      <c r="F139" s="260"/>
      <c r="G139" s="260"/>
      <c r="H139" s="260"/>
      <c r="I139" s="260"/>
      <c r="J139" s="260"/>
      <c r="K139" s="260"/>
      <c r="L139" s="257"/>
      <c r="M139" s="260"/>
      <c r="N139" s="268"/>
      <c r="O139" s="260"/>
      <c r="P139" s="260"/>
      <c r="Q139" s="257"/>
      <c r="R139" s="257"/>
      <c r="S139" s="317"/>
      <c r="T139" s="268"/>
      <c r="U139" s="254"/>
      <c r="V139" s="254"/>
      <c r="W139" s="253"/>
      <c r="X139" s="253"/>
      <c r="Y139" s="253"/>
      <c r="Z139" s="253"/>
    </row>
    <row r="140" spans="1:26" hidden="1">
      <c r="B140" s="272" t="s">
        <v>315</v>
      </c>
      <c r="C140" s="257"/>
      <c r="D140" s="260"/>
      <c r="E140" s="260"/>
      <c r="F140" s="260"/>
      <c r="G140" s="260"/>
      <c r="H140" s="260"/>
      <c r="I140" s="260"/>
      <c r="J140" s="260"/>
      <c r="K140" s="260"/>
      <c r="L140" s="257"/>
      <c r="M140" s="260"/>
      <c r="N140" s="268"/>
      <c r="O140" s="268"/>
      <c r="P140" s="268"/>
      <c r="Q140" s="317"/>
      <c r="R140" s="317"/>
      <c r="S140" s="317"/>
      <c r="T140" s="260"/>
      <c r="U140" s="254"/>
      <c r="V140" s="254"/>
      <c r="W140" s="253"/>
      <c r="X140" s="253"/>
      <c r="Y140" s="253"/>
      <c r="Z140" s="253"/>
    </row>
    <row r="141" spans="1:26" hidden="1">
      <c r="B141" s="273"/>
      <c r="C141" s="253"/>
      <c r="D141" s="254"/>
      <c r="E141" s="254"/>
      <c r="F141" s="254"/>
      <c r="G141" s="254"/>
      <c r="H141" s="254"/>
      <c r="I141" s="254"/>
      <c r="J141" s="254"/>
      <c r="K141" s="254"/>
      <c r="L141" s="253"/>
      <c r="M141" s="254"/>
      <c r="N141" s="255"/>
      <c r="O141" s="254"/>
      <c r="P141" s="254"/>
      <c r="Q141" s="253"/>
      <c r="R141" s="253"/>
    </row>
    <row r="142" spans="1:26" hidden="1">
      <c r="B142" s="273"/>
      <c r="C142" s="253"/>
      <c r="D142" s="254"/>
      <c r="E142" s="254"/>
      <c r="F142" s="254"/>
      <c r="G142" s="254"/>
      <c r="H142" s="254"/>
      <c r="I142" s="254"/>
      <c r="J142" s="254"/>
      <c r="K142" s="254"/>
      <c r="L142" s="253"/>
      <c r="M142" s="254"/>
      <c r="N142" s="255"/>
      <c r="O142" s="254"/>
      <c r="P142" s="254"/>
      <c r="Q142" s="253"/>
      <c r="R142" s="253"/>
    </row>
    <row r="143" spans="1:26" hidden="1">
      <c r="B143" s="262" t="s">
        <v>311</v>
      </c>
      <c r="C143" s="384" t="s">
        <v>305</v>
      </c>
      <c r="D143" s="385"/>
      <c r="E143" s="385"/>
      <c r="F143" s="385"/>
      <c r="G143" s="386"/>
      <c r="H143" s="235" t="s">
        <v>307</v>
      </c>
      <c r="I143" s="235" t="s">
        <v>308</v>
      </c>
      <c r="J143" s="387" t="s">
        <v>309</v>
      </c>
      <c r="K143" s="388"/>
      <c r="L143" s="246" t="s">
        <v>312</v>
      </c>
      <c r="M143" s="235" t="s">
        <v>313</v>
      </c>
      <c r="N143" s="236"/>
      <c r="O143" s="236"/>
      <c r="P143" s="235"/>
      <c r="Q143" s="246"/>
      <c r="R143" s="246"/>
      <c r="S143" s="316"/>
      <c r="T143" s="235"/>
    </row>
    <row r="144" spans="1:26" hidden="1">
      <c r="A144" s="261">
        <v>5</v>
      </c>
      <c r="B144" s="265" t="s">
        <v>306</v>
      </c>
      <c r="C144" s="248"/>
      <c r="D144" s="266"/>
      <c r="E144" s="266"/>
      <c r="F144" s="242"/>
      <c r="G144" s="266"/>
      <c r="H144" s="242"/>
      <c r="I144" s="242">
        <v>32</v>
      </c>
      <c r="J144" s="236"/>
      <c r="K144" s="277"/>
      <c r="L144" s="257"/>
      <c r="M144" s="260"/>
      <c r="N144" s="260"/>
      <c r="O144" s="260"/>
      <c r="P144" s="260"/>
      <c r="Q144" s="257"/>
      <c r="R144" s="317"/>
      <c r="S144" s="257"/>
      <c r="T144" s="260"/>
    </row>
    <row r="145" spans="1:20" hidden="1">
      <c r="B145" s="243" t="s">
        <v>225</v>
      </c>
      <c r="C145" s="257"/>
      <c r="D145" s="260"/>
      <c r="E145" s="260"/>
      <c r="F145" s="260"/>
      <c r="G145" s="260"/>
      <c r="H145" s="269"/>
      <c r="I145" s="269"/>
      <c r="J145" s="269"/>
      <c r="K145" s="260"/>
      <c r="L145" s="257"/>
      <c r="M145" s="260"/>
      <c r="N145" s="268"/>
      <c r="O145" s="268"/>
      <c r="P145" s="260"/>
      <c r="Q145" s="317"/>
      <c r="R145" s="317"/>
      <c r="S145" s="317"/>
      <c r="T145" s="268"/>
    </row>
    <row r="146" spans="1:20" hidden="1">
      <c r="B146" s="243" t="s">
        <v>225</v>
      </c>
      <c r="C146" s="257"/>
      <c r="D146" s="260"/>
      <c r="E146" s="260"/>
      <c r="F146" s="260"/>
      <c r="G146" s="260"/>
      <c r="H146" s="260"/>
      <c r="I146" s="260"/>
      <c r="J146" s="260"/>
      <c r="K146" s="260"/>
      <c r="L146" s="257"/>
      <c r="M146" s="260"/>
      <c r="N146" s="268"/>
      <c r="O146" s="268"/>
      <c r="P146" s="260"/>
      <c r="Q146" s="257"/>
      <c r="R146" s="257"/>
      <c r="S146" s="317"/>
      <c r="T146" s="268"/>
    </row>
    <row r="147" spans="1:20" ht="27.6" hidden="1">
      <c r="B147" s="229" t="s">
        <v>283</v>
      </c>
      <c r="C147" s="257"/>
      <c r="D147" s="260"/>
      <c r="E147" s="260"/>
      <c r="F147" s="260"/>
      <c r="G147" s="260"/>
      <c r="H147" s="260"/>
      <c r="I147" s="260"/>
      <c r="J147" s="260"/>
      <c r="K147" s="260"/>
      <c r="L147" s="257"/>
      <c r="M147" s="260"/>
      <c r="N147" s="268"/>
      <c r="O147" s="260"/>
      <c r="P147" s="260"/>
      <c r="Q147" s="257"/>
      <c r="R147" s="257"/>
      <c r="S147" s="257"/>
      <c r="T147" s="260"/>
    </row>
    <row r="148" spans="1:20" hidden="1">
      <c r="B148" s="272" t="s">
        <v>315</v>
      </c>
      <c r="C148" s="257"/>
      <c r="D148" s="260"/>
      <c r="E148" s="260"/>
      <c r="F148" s="260"/>
      <c r="G148" s="260"/>
      <c r="H148" s="260"/>
      <c r="I148" s="260"/>
      <c r="J148" s="260"/>
      <c r="K148" s="260"/>
      <c r="L148" s="257"/>
      <c r="M148" s="260"/>
      <c r="N148" s="268"/>
      <c r="O148" s="268"/>
      <c r="P148" s="268"/>
      <c r="Q148" s="317"/>
      <c r="R148" s="317"/>
      <c r="S148" s="317"/>
      <c r="T148" s="260"/>
    </row>
    <row r="149" spans="1:20" hidden="1">
      <c r="A149" s="253"/>
      <c r="B149" s="253"/>
      <c r="C149" s="253"/>
      <c r="D149" s="254"/>
      <c r="E149" s="254"/>
      <c r="F149" s="254"/>
      <c r="G149" s="254"/>
      <c r="H149" s="254"/>
      <c r="I149" s="254"/>
      <c r="J149" s="254"/>
      <c r="K149" s="254"/>
      <c r="L149" s="253"/>
      <c r="M149" s="254"/>
      <c r="N149" s="254"/>
      <c r="O149" s="254"/>
      <c r="P149" s="254"/>
      <c r="Q149" s="253"/>
      <c r="R149" s="253"/>
      <c r="S149" s="314"/>
      <c r="T149" s="255"/>
    </row>
    <row r="150" spans="1:20" hidden="1">
      <c r="A150" s="253"/>
      <c r="B150" s="253"/>
      <c r="C150" s="253"/>
      <c r="D150" s="254"/>
      <c r="E150" s="254"/>
      <c r="F150" s="254"/>
      <c r="G150" s="254"/>
      <c r="H150" s="254"/>
      <c r="I150" s="254"/>
      <c r="J150" s="254"/>
      <c r="K150" s="254"/>
      <c r="L150" s="253"/>
      <c r="M150" s="254"/>
      <c r="N150" s="254"/>
      <c r="O150" s="254"/>
      <c r="P150" s="254"/>
      <c r="Q150" s="253"/>
      <c r="R150" s="253"/>
      <c r="S150" s="314"/>
      <c r="T150" s="254"/>
    </row>
    <row r="151" spans="1:20" hidden="1">
      <c r="A151" s="261">
        <v>7</v>
      </c>
      <c r="B151" s="262" t="s">
        <v>311</v>
      </c>
      <c r="C151" s="384" t="s">
        <v>305</v>
      </c>
      <c r="D151" s="385"/>
      <c r="E151" s="385"/>
      <c r="F151" s="385"/>
      <c r="G151" s="386"/>
      <c r="H151" s="235" t="s">
        <v>307</v>
      </c>
      <c r="I151" s="235" t="s">
        <v>308</v>
      </c>
      <c r="J151" s="387" t="s">
        <v>309</v>
      </c>
      <c r="K151" s="388"/>
      <c r="L151" s="246" t="s">
        <v>312</v>
      </c>
      <c r="M151" s="235" t="s">
        <v>313</v>
      </c>
      <c r="N151" s="236"/>
      <c r="O151" s="236"/>
      <c r="P151" s="235"/>
      <c r="Q151" s="246"/>
      <c r="R151" s="246"/>
      <c r="S151" s="316"/>
      <c r="T151" s="235"/>
    </row>
    <row r="152" spans="1:20" hidden="1">
      <c r="A152" s="261"/>
      <c r="B152" s="265" t="s">
        <v>306</v>
      </c>
      <c r="C152" s="257">
        <v>13</v>
      </c>
      <c r="D152" s="260">
        <v>24</v>
      </c>
      <c r="E152" s="260"/>
      <c r="F152" s="260"/>
      <c r="G152" s="260"/>
      <c r="H152" s="260">
        <v>43</v>
      </c>
      <c r="I152" s="260"/>
      <c r="J152" s="260">
        <v>18</v>
      </c>
      <c r="K152" s="260">
        <v>13</v>
      </c>
      <c r="L152" s="257"/>
      <c r="M152" s="260"/>
      <c r="N152" s="260"/>
      <c r="O152" s="260"/>
      <c r="P152" s="260"/>
      <c r="Q152" s="257"/>
      <c r="R152" s="317"/>
      <c r="S152" s="257"/>
      <c r="T152" s="260"/>
    </row>
    <row r="153" spans="1:20" hidden="1">
      <c r="B153" s="243" t="s">
        <v>225</v>
      </c>
      <c r="C153" s="257"/>
      <c r="D153" s="260"/>
      <c r="E153" s="260"/>
      <c r="F153" s="260"/>
      <c r="G153" s="260"/>
      <c r="H153" s="260"/>
      <c r="I153" s="260"/>
      <c r="J153" s="260"/>
      <c r="K153" s="260"/>
      <c r="L153" s="257"/>
      <c r="M153" s="260"/>
      <c r="N153" s="268"/>
      <c r="O153" s="260"/>
      <c r="P153" s="260"/>
      <c r="Q153" s="317"/>
      <c r="R153" s="257"/>
      <c r="S153" s="317"/>
      <c r="T153" s="268"/>
    </row>
    <row r="154" spans="1:20" hidden="1">
      <c r="B154" s="243" t="s">
        <v>225</v>
      </c>
      <c r="C154" s="257"/>
      <c r="D154" s="260"/>
      <c r="E154" s="260"/>
      <c r="F154" s="260"/>
      <c r="G154" s="260"/>
      <c r="H154" s="260"/>
      <c r="I154" s="260"/>
      <c r="J154" s="260"/>
      <c r="K154" s="260"/>
      <c r="L154" s="257"/>
      <c r="M154" s="260"/>
      <c r="N154" s="268"/>
      <c r="O154" s="268"/>
      <c r="P154" s="260"/>
      <c r="Q154" s="257"/>
      <c r="R154" s="257"/>
      <c r="S154" s="317"/>
      <c r="T154" s="268"/>
    </row>
    <row r="155" spans="1:20" ht="27.6" hidden="1">
      <c r="B155" s="229" t="s">
        <v>283</v>
      </c>
      <c r="C155" s="257"/>
      <c r="D155" s="260"/>
      <c r="E155" s="260"/>
      <c r="F155" s="260"/>
      <c r="G155" s="260"/>
      <c r="H155" s="260"/>
      <c r="I155" s="260"/>
      <c r="J155" s="260"/>
      <c r="K155" s="260"/>
      <c r="L155" s="257"/>
      <c r="M155" s="260"/>
      <c r="N155" s="268"/>
      <c r="O155" s="260"/>
      <c r="P155" s="260"/>
      <c r="Q155" s="257"/>
      <c r="R155" s="257"/>
      <c r="S155" s="317"/>
      <c r="T155" s="260"/>
    </row>
    <row r="156" spans="1:20" hidden="1">
      <c r="B156" s="250" t="s">
        <v>314</v>
      </c>
      <c r="C156" s="257"/>
      <c r="D156" s="260"/>
      <c r="E156" s="260"/>
      <c r="F156" s="260"/>
      <c r="G156" s="260"/>
      <c r="H156" s="260"/>
      <c r="I156" s="260"/>
      <c r="J156" s="260"/>
      <c r="K156" s="260"/>
      <c r="L156" s="257"/>
      <c r="M156" s="260"/>
      <c r="N156" s="268"/>
      <c r="O156" s="260"/>
      <c r="P156" s="268"/>
      <c r="Q156" s="257"/>
      <c r="R156" s="257"/>
      <c r="S156" s="317"/>
      <c r="T156" s="260"/>
    </row>
    <row r="157" spans="1:20" ht="55.2" hidden="1">
      <c r="B157" s="250" t="s">
        <v>288</v>
      </c>
      <c r="C157" s="257"/>
      <c r="D157" s="260"/>
      <c r="E157" s="260"/>
      <c r="F157" s="260"/>
      <c r="G157" s="260"/>
      <c r="H157" s="260"/>
      <c r="I157" s="260"/>
      <c r="J157" s="260"/>
      <c r="K157" s="260"/>
      <c r="L157" s="257"/>
      <c r="M157" s="260"/>
      <c r="N157" s="271"/>
      <c r="O157" s="260"/>
      <c r="P157" s="260"/>
      <c r="Q157" s="257"/>
      <c r="R157" s="257"/>
      <c r="S157" s="317"/>
      <c r="T157" s="268"/>
    </row>
    <row r="158" spans="1:20" ht="41.4" hidden="1">
      <c r="B158" s="250" t="s">
        <v>289</v>
      </c>
      <c r="C158" s="257"/>
      <c r="D158" s="260"/>
      <c r="E158" s="260"/>
      <c r="F158" s="260"/>
      <c r="G158" s="260"/>
      <c r="H158" s="260"/>
      <c r="I158" s="260"/>
      <c r="J158" s="260"/>
      <c r="K158" s="260"/>
      <c r="L158" s="257"/>
      <c r="M158" s="260"/>
      <c r="N158" s="268"/>
      <c r="O158" s="260"/>
      <c r="P158" s="260"/>
      <c r="Q158" s="257"/>
      <c r="R158" s="257"/>
      <c r="S158" s="317"/>
      <c r="T158" s="260"/>
    </row>
    <row r="159" spans="1:20" hidden="1">
      <c r="B159" s="272" t="s">
        <v>315</v>
      </c>
      <c r="C159" s="257"/>
      <c r="D159" s="260"/>
      <c r="E159" s="260"/>
      <c r="F159" s="260"/>
      <c r="G159" s="260"/>
      <c r="H159" s="260"/>
      <c r="I159" s="260"/>
      <c r="J159" s="260"/>
      <c r="K159" s="260"/>
      <c r="L159" s="257"/>
      <c r="M159" s="260"/>
      <c r="N159" s="268"/>
      <c r="O159" s="260"/>
      <c r="P159" s="260"/>
      <c r="Q159" s="257"/>
      <c r="R159" s="257"/>
      <c r="S159" s="317"/>
      <c r="T159" s="260"/>
    </row>
    <row r="160" spans="1:20" hidden="1"/>
    <row r="161" spans="1:20" hidden="1"/>
    <row r="162" spans="1:20" hidden="1">
      <c r="A162" s="261">
        <v>8</v>
      </c>
      <c r="B162" s="262" t="s">
        <v>311</v>
      </c>
      <c r="C162" s="384" t="s">
        <v>305</v>
      </c>
      <c r="D162" s="385"/>
      <c r="E162" s="385"/>
      <c r="F162" s="385"/>
      <c r="G162" s="386"/>
      <c r="H162" s="235" t="s">
        <v>307</v>
      </c>
      <c r="I162" s="235" t="s">
        <v>308</v>
      </c>
      <c r="J162" s="387" t="s">
        <v>309</v>
      </c>
      <c r="K162" s="388"/>
      <c r="L162" s="246" t="s">
        <v>312</v>
      </c>
      <c r="M162" s="235" t="s">
        <v>313</v>
      </c>
      <c r="N162" s="236"/>
      <c r="O162" s="236"/>
      <c r="P162" s="235"/>
      <c r="Q162" s="246"/>
      <c r="R162" s="246"/>
      <c r="S162" s="316"/>
      <c r="T162" s="235"/>
    </row>
    <row r="163" spans="1:20" hidden="1">
      <c r="A163" s="261"/>
      <c r="B163" s="257" t="s">
        <v>306</v>
      </c>
      <c r="C163" s="257">
        <v>19</v>
      </c>
      <c r="D163" s="260">
        <v>19</v>
      </c>
      <c r="E163" s="260"/>
      <c r="F163" s="260"/>
      <c r="G163" s="260"/>
      <c r="H163" s="260">
        <v>76</v>
      </c>
      <c r="I163" s="260"/>
      <c r="J163" s="260"/>
      <c r="K163" s="260"/>
      <c r="L163" s="257"/>
      <c r="M163" s="260"/>
      <c r="N163" s="260"/>
      <c r="O163" s="260"/>
      <c r="P163" s="260"/>
      <c r="Q163" s="257"/>
      <c r="R163" s="317"/>
      <c r="S163" s="257"/>
      <c r="T163" s="260"/>
    </row>
    <row r="164" spans="1:20" hidden="1">
      <c r="B164" s="243" t="s">
        <v>225</v>
      </c>
      <c r="C164" s="257"/>
      <c r="D164" s="260"/>
      <c r="E164" s="260"/>
      <c r="F164" s="260"/>
      <c r="G164" s="260"/>
      <c r="H164" s="260"/>
      <c r="I164" s="260"/>
      <c r="J164" s="260"/>
      <c r="K164" s="260"/>
      <c r="L164" s="257"/>
      <c r="M164" s="260"/>
      <c r="N164" s="268"/>
      <c r="O164" s="268"/>
      <c r="P164" s="260"/>
      <c r="Q164" s="317"/>
      <c r="R164" s="257"/>
      <c r="S164" s="317"/>
      <c r="T164" s="268"/>
    </row>
    <row r="165" spans="1:20" hidden="1">
      <c r="B165" s="243" t="s">
        <v>225</v>
      </c>
      <c r="C165" s="257"/>
      <c r="D165" s="260"/>
      <c r="E165" s="260"/>
      <c r="F165" s="260"/>
      <c r="G165" s="260"/>
      <c r="H165" s="260"/>
      <c r="I165" s="260"/>
      <c r="J165" s="260"/>
      <c r="K165" s="260"/>
      <c r="L165" s="257"/>
      <c r="M165" s="260"/>
      <c r="N165" s="268"/>
      <c r="O165" s="268"/>
      <c r="P165" s="260"/>
      <c r="Q165" s="257"/>
      <c r="R165" s="257"/>
      <c r="S165" s="317"/>
      <c r="T165" s="268"/>
    </row>
    <row r="166" spans="1:20" ht="27.6" hidden="1">
      <c r="B166" s="229" t="s">
        <v>283</v>
      </c>
      <c r="C166" s="257"/>
      <c r="D166" s="260"/>
      <c r="E166" s="260"/>
      <c r="F166" s="260"/>
      <c r="G166" s="260"/>
      <c r="H166" s="260"/>
      <c r="I166" s="260"/>
      <c r="J166" s="260"/>
      <c r="K166" s="260"/>
      <c r="L166" s="257"/>
      <c r="M166" s="260"/>
      <c r="N166" s="268"/>
      <c r="O166" s="260"/>
      <c r="P166" s="260"/>
      <c r="Q166" s="257"/>
      <c r="R166" s="257"/>
      <c r="S166" s="317"/>
      <c r="T166" s="260"/>
    </row>
    <row r="167" spans="1:20" ht="55.2" hidden="1">
      <c r="B167" s="250" t="s">
        <v>288</v>
      </c>
      <c r="C167" s="257"/>
      <c r="D167" s="260"/>
      <c r="E167" s="260"/>
      <c r="F167" s="260"/>
      <c r="G167" s="260"/>
      <c r="H167" s="260"/>
      <c r="I167" s="260"/>
      <c r="J167" s="260"/>
      <c r="K167" s="260"/>
      <c r="L167" s="257"/>
      <c r="M167" s="260"/>
      <c r="N167" s="271"/>
      <c r="O167" s="260"/>
      <c r="P167" s="271"/>
      <c r="Q167" s="257"/>
      <c r="R167" s="257"/>
      <c r="S167" s="317"/>
      <c r="T167" s="260"/>
    </row>
    <row r="168" spans="1:20" ht="41.4" hidden="1">
      <c r="B168" s="250" t="s">
        <v>289</v>
      </c>
      <c r="C168" s="257"/>
      <c r="D168" s="260"/>
      <c r="E168" s="260"/>
      <c r="F168" s="260"/>
      <c r="G168" s="260"/>
      <c r="H168" s="260"/>
      <c r="I168" s="260"/>
      <c r="J168" s="260"/>
      <c r="K168" s="260"/>
      <c r="L168" s="257"/>
      <c r="M168" s="260"/>
      <c r="N168" s="268"/>
      <c r="O168" s="260"/>
      <c r="P168" s="260"/>
      <c r="Q168" s="257"/>
      <c r="R168" s="257"/>
      <c r="S168" s="317"/>
      <c r="T168" s="268"/>
    </row>
    <row r="169" spans="1:20" hidden="1">
      <c r="B169" s="272" t="s">
        <v>315</v>
      </c>
      <c r="C169" s="257"/>
      <c r="D169" s="260"/>
      <c r="E169" s="260"/>
      <c r="F169" s="260"/>
      <c r="G169" s="260"/>
      <c r="H169" s="260"/>
      <c r="I169" s="260"/>
      <c r="J169" s="260"/>
      <c r="K169" s="260"/>
      <c r="L169" s="257"/>
      <c r="M169" s="260"/>
      <c r="N169" s="268"/>
      <c r="O169" s="260"/>
      <c r="P169" s="260"/>
      <c r="Q169" s="257"/>
      <c r="R169" s="257"/>
      <c r="S169" s="317"/>
      <c r="T169" s="260"/>
    </row>
    <row r="170" spans="1:20" hidden="1">
      <c r="S170" s="314"/>
      <c r="T170" s="254"/>
    </row>
    <row r="171" spans="1:20" hidden="1"/>
    <row r="172" spans="1:20" hidden="1">
      <c r="B172" s="262" t="s">
        <v>311</v>
      </c>
      <c r="C172" s="384" t="s">
        <v>305</v>
      </c>
      <c r="D172" s="385"/>
      <c r="E172" s="385"/>
      <c r="F172" s="385"/>
      <c r="G172" s="386"/>
      <c r="H172" s="235" t="s">
        <v>307</v>
      </c>
      <c r="I172" s="235" t="s">
        <v>308</v>
      </c>
      <c r="J172" s="387" t="s">
        <v>309</v>
      </c>
      <c r="K172" s="388"/>
      <c r="L172" s="246" t="s">
        <v>312</v>
      </c>
      <c r="M172" s="235" t="s">
        <v>313</v>
      </c>
      <c r="N172" s="236"/>
      <c r="O172" s="236"/>
      <c r="P172" s="235"/>
      <c r="Q172" s="246"/>
      <c r="R172" s="246"/>
      <c r="S172" s="316"/>
      <c r="T172" s="235"/>
    </row>
    <row r="173" spans="1:20" hidden="1">
      <c r="A173" s="261">
        <v>9</v>
      </c>
      <c r="B173" s="265" t="s">
        <v>306</v>
      </c>
      <c r="C173" s="257">
        <v>29</v>
      </c>
      <c r="D173" s="260">
        <v>89</v>
      </c>
      <c r="E173" s="260"/>
      <c r="F173" s="260"/>
      <c r="G173" s="260"/>
      <c r="H173" s="260">
        <v>75</v>
      </c>
      <c r="I173" s="260"/>
      <c r="J173" s="260"/>
      <c r="K173" s="260">
        <v>24</v>
      </c>
      <c r="L173" s="257"/>
      <c r="M173" s="260"/>
      <c r="N173" s="260"/>
      <c r="O173" s="260"/>
      <c r="P173" s="260"/>
      <c r="Q173" s="257"/>
      <c r="R173" s="317"/>
      <c r="S173" s="257"/>
      <c r="T173" s="260"/>
    </row>
    <row r="174" spans="1:20" hidden="1">
      <c r="B174" s="243" t="s">
        <v>225</v>
      </c>
      <c r="C174" s="257"/>
      <c r="D174" s="260"/>
      <c r="E174" s="260"/>
      <c r="F174" s="260"/>
      <c r="G174" s="260"/>
      <c r="H174" s="260"/>
      <c r="I174" s="260"/>
      <c r="J174" s="260"/>
      <c r="K174" s="260"/>
      <c r="L174" s="257"/>
      <c r="M174" s="260"/>
      <c r="N174" s="268"/>
      <c r="O174" s="268"/>
      <c r="P174" s="260"/>
      <c r="Q174" s="317"/>
      <c r="R174" s="257"/>
      <c r="S174" s="317"/>
      <c r="T174" s="268"/>
    </row>
    <row r="175" spans="1:20" hidden="1">
      <c r="B175" s="243" t="s">
        <v>225</v>
      </c>
      <c r="C175" s="257"/>
      <c r="D175" s="260"/>
      <c r="E175" s="260"/>
      <c r="F175" s="260"/>
      <c r="G175" s="260"/>
      <c r="H175" s="260"/>
      <c r="I175" s="260"/>
      <c r="J175" s="260"/>
      <c r="K175" s="260"/>
      <c r="L175" s="257"/>
      <c r="M175" s="260"/>
      <c r="N175" s="268"/>
      <c r="O175" s="268"/>
      <c r="P175" s="260"/>
      <c r="Q175" s="257"/>
      <c r="R175" s="257"/>
      <c r="S175" s="317"/>
      <c r="T175" s="268"/>
    </row>
    <row r="176" spans="1:20" ht="27.6" hidden="1">
      <c r="B176" s="229" t="s">
        <v>283</v>
      </c>
      <c r="C176" s="257"/>
      <c r="D176" s="260"/>
      <c r="E176" s="260"/>
      <c r="F176" s="260"/>
      <c r="G176" s="260"/>
      <c r="H176" s="260"/>
      <c r="I176" s="260"/>
      <c r="J176" s="260"/>
      <c r="K176" s="260"/>
      <c r="L176" s="257"/>
      <c r="M176" s="260"/>
      <c r="N176" s="268"/>
      <c r="O176" s="260"/>
      <c r="P176" s="260"/>
      <c r="Q176" s="257"/>
      <c r="R176" s="257"/>
      <c r="S176" s="317"/>
      <c r="T176" s="260"/>
    </row>
    <row r="177" spans="1:20" ht="55.2" hidden="1">
      <c r="B177" s="250" t="s">
        <v>288</v>
      </c>
      <c r="C177" s="257"/>
      <c r="D177" s="260"/>
      <c r="E177" s="260"/>
      <c r="F177" s="260"/>
      <c r="G177" s="260"/>
      <c r="H177" s="260"/>
      <c r="I177" s="260"/>
      <c r="J177" s="260"/>
      <c r="K177" s="260"/>
      <c r="L177" s="257"/>
      <c r="M177" s="260"/>
      <c r="N177" s="271"/>
      <c r="O177" s="260"/>
      <c r="P177" s="271"/>
      <c r="Q177" s="257"/>
      <c r="R177" s="257"/>
      <c r="S177" s="317"/>
      <c r="T177" s="260"/>
    </row>
    <row r="178" spans="1:20" ht="41.4" hidden="1">
      <c r="B178" s="250" t="s">
        <v>289</v>
      </c>
      <c r="C178" s="257"/>
      <c r="D178" s="260"/>
      <c r="E178" s="260"/>
      <c r="F178" s="260"/>
      <c r="G178" s="260"/>
      <c r="H178" s="260"/>
      <c r="I178" s="260"/>
      <c r="J178" s="260"/>
      <c r="K178" s="260"/>
      <c r="L178" s="257"/>
      <c r="M178" s="260"/>
      <c r="N178" s="268"/>
      <c r="O178" s="260"/>
      <c r="P178" s="260"/>
      <c r="Q178" s="257"/>
      <c r="R178" s="257"/>
      <c r="S178" s="317"/>
      <c r="T178" s="268"/>
    </row>
    <row r="179" spans="1:20" hidden="1">
      <c r="B179" s="272" t="s">
        <v>315</v>
      </c>
      <c r="C179" s="257"/>
      <c r="D179" s="260"/>
      <c r="E179" s="260"/>
      <c r="F179" s="260"/>
      <c r="G179" s="260"/>
      <c r="H179" s="260"/>
      <c r="I179" s="260"/>
      <c r="J179" s="260"/>
      <c r="K179" s="260"/>
      <c r="L179" s="257"/>
      <c r="M179" s="260"/>
      <c r="N179" s="268"/>
      <c r="O179" s="260"/>
      <c r="P179" s="260"/>
      <c r="Q179" s="257"/>
      <c r="R179" s="257"/>
      <c r="S179" s="317"/>
      <c r="T179" s="260"/>
    </row>
    <row r="180" spans="1:20" hidden="1"/>
    <row r="181" spans="1:20" hidden="1"/>
    <row r="182" spans="1:20" hidden="1">
      <c r="B182" s="262" t="s">
        <v>311</v>
      </c>
      <c r="C182" s="384" t="s">
        <v>305</v>
      </c>
      <c r="D182" s="385"/>
      <c r="E182" s="385"/>
      <c r="F182" s="385"/>
      <c r="G182" s="386"/>
      <c r="H182" s="235" t="s">
        <v>307</v>
      </c>
      <c r="I182" s="235" t="s">
        <v>308</v>
      </c>
      <c r="J182" s="387" t="s">
        <v>309</v>
      </c>
      <c r="K182" s="388"/>
      <c r="L182" s="246" t="s">
        <v>312</v>
      </c>
      <c r="M182" s="235" t="s">
        <v>313</v>
      </c>
      <c r="N182" s="236"/>
      <c r="O182" s="236"/>
      <c r="P182" s="235"/>
      <c r="Q182" s="246"/>
      <c r="R182" s="246"/>
      <c r="S182" s="316"/>
      <c r="T182" s="235"/>
    </row>
    <row r="183" spans="1:20" hidden="1">
      <c r="A183" s="261">
        <v>10</v>
      </c>
      <c r="B183" s="257" t="s">
        <v>306</v>
      </c>
      <c r="C183" s="257">
        <v>18</v>
      </c>
      <c r="D183" s="260">
        <v>17</v>
      </c>
      <c r="E183" s="260"/>
      <c r="F183" s="260"/>
      <c r="G183" s="260"/>
      <c r="H183" s="260">
        <v>75</v>
      </c>
      <c r="I183" s="260"/>
      <c r="J183" s="260"/>
      <c r="K183" s="260"/>
      <c r="L183" s="257"/>
      <c r="M183" s="260"/>
      <c r="N183" s="260"/>
      <c r="O183" s="260"/>
      <c r="P183" s="260"/>
      <c r="Q183" s="257"/>
      <c r="R183" s="317"/>
      <c r="S183" s="257"/>
      <c r="T183" s="260"/>
    </row>
    <row r="184" spans="1:20" hidden="1">
      <c r="B184" s="243" t="s">
        <v>225</v>
      </c>
      <c r="C184" s="257"/>
      <c r="D184" s="260"/>
      <c r="E184" s="260"/>
      <c r="F184" s="260"/>
      <c r="G184" s="260"/>
      <c r="H184" s="260"/>
      <c r="I184" s="260"/>
      <c r="J184" s="260"/>
      <c r="K184" s="260"/>
      <c r="L184" s="257"/>
      <c r="M184" s="260"/>
      <c r="N184" s="268"/>
      <c r="O184" s="260"/>
      <c r="P184" s="260"/>
      <c r="Q184" s="317"/>
      <c r="R184" s="257"/>
      <c r="S184" s="317"/>
      <c r="T184" s="268"/>
    </row>
    <row r="185" spans="1:20" hidden="1">
      <c r="B185" s="243" t="s">
        <v>225</v>
      </c>
      <c r="C185" s="257"/>
      <c r="D185" s="260"/>
      <c r="E185" s="260"/>
      <c r="F185" s="260"/>
      <c r="G185" s="260"/>
      <c r="H185" s="260"/>
      <c r="I185" s="260"/>
      <c r="J185" s="260"/>
      <c r="K185" s="260"/>
      <c r="L185" s="257"/>
      <c r="M185" s="260"/>
      <c r="N185" s="268"/>
      <c r="O185" s="268"/>
      <c r="P185" s="260"/>
      <c r="Q185" s="257"/>
      <c r="R185" s="257"/>
      <c r="S185" s="317"/>
      <c r="T185" s="268"/>
    </row>
    <row r="186" spans="1:20" ht="27.6" hidden="1">
      <c r="B186" s="229" t="s">
        <v>283</v>
      </c>
      <c r="C186" s="257"/>
      <c r="D186" s="260"/>
      <c r="E186" s="260"/>
      <c r="F186" s="260"/>
      <c r="G186" s="260"/>
      <c r="H186" s="235"/>
      <c r="I186" s="260"/>
      <c r="J186" s="260"/>
      <c r="K186" s="260"/>
      <c r="L186" s="257"/>
      <c r="M186" s="260"/>
      <c r="N186" s="268"/>
      <c r="O186" s="260"/>
      <c r="P186" s="260"/>
      <c r="Q186" s="257"/>
      <c r="R186" s="257"/>
      <c r="S186" s="317"/>
      <c r="T186" s="260"/>
    </row>
    <row r="187" spans="1:20" hidden="1">
      <c r="B187" s="247" t="s">
        <v>316</v>
      </c>
      <c r="C187" s="257"/>
      <c r="D187" s="260"/>
      <c r="E187" s="260"/>
      <c r="F187" s="260"/>
      <c r="G187" s="260"/>
      <c r="H187" s="260"/>
      <c r="I187" s="260"/>
      <c r="J187" s="260"/>
      <c r="K187" s="260"/>
      <c r="L187" s="257"/>
      <c r="M187" s="260"/>
      <c r="N187" s="271"/>
      <c r="O187" s="260"/>
      <c r="P187" s="268"/>
      <c r="Q187" s="257"/>
      <c r="R187" s="257"/>
      <c r="S187" s="317"/>
      <c r="T187" s="260"/>
    </row>
    <row r="188" spans="1:20" ht="55.2" hidden="1">
      <c r="B188" s="250" t="s">
        <v>288</v>
      </c>
      <c r="C188" s="257"/>
      <c r="D188" s="260"/>
      <c r="E188" s="260"/>
      <c r="F188" s="260"/>
      <c r="G188" s="260"/>
      <c r="H188" s="260"/>
      <c r="I188" s="260"/>
      <c r="J188" s="260"/>
      <c r="K188" s="260"/>
      <c r="L188" s="257"/>
      <c r="M188" s="260"/>
      <c r="N188" s="271"/>
      <c r="O188" s="260"/>
      <c r="P188" s="260"/>
      <c r="Q188" s="257"/>
      <c r="R188" s="257"/>
      <c r="S188" s="317"/>
      <c r="T188" s="268"/>
    </row>
    <row r="189" spans="1:20" ht="41.4" hidden="1">
      <c r="B189" s="250" t="s">
        <v>289</v>
      </c>
      <c r="C189" s="257"/>
      <c r="D189" s="260"/>
      <c r="E189" s="260"/>
      <c r="F189" s="260"/>
      <c r="G189" s="260"/>
      <c r="H189" s="260"/>
      <c r="I189" s="260"/>
      <c r="J189" s="260"/>
      <c r="K189" s="260"/>
      <c r="L189" s="257"/>
      <c r="M189" s="260"/>
      <c r="N189" s="268"/>
      <c r="O189" s="260"/>
      <c r="P189" s="260"/>
      <c r="Q189" s="257"/>
      <c r="R189" s="257"/>
      <c r="S189" s="317"/>
      <c r="T189" s="260"/>
    </row>
    <row r="190" spans="1:20" hidden="1">
      <c r="B190" s="272" t="s">
        <v>315</v>
      </c>
      <c r="C190" s="257"/>
      <c r="D190" s="260"/>
      <c r="E190" s="260"/>
      <c r="F190" s="260"/>
      <c r="G190" s="260"/>
      <c r="H190" s="260"/>
      <c r="I190" s="260"/>
      <c r="J190" s="260"/>
      <c r="K190" s="260"/>
      <c r="L190" s="257"/>
      <c r="M190" s="260"/>
      <c r="N190" s="268"/>
      <c r="O190" s="260"/>
      <c r="P190" s="260"/>
      <c r="Q190" s="257"/>
      <c r="R190" s="257"/>
      <c r="S190" s="317"/>
      <c r="T190" s="260"/>
    </row>
    <row r="191" spans="1:20" hidden="1"/>
    <row r="192" spans="1:20" hidden="1"/>
    <row r="193" spans="1:20" hidden="1">
      <c r="B193" s="262" t="s">
        <v>311</v>
      </c>
      <c r="C193" s="384" t="s">
        <v>305</v>
      </c>
      <c r="D193" s="385"/>
      <c r="E193" s="385"/>
      <c r="F193" s="385"/>
      <c r="G193" s="386"/>
      <c r="H193" s="235" t="s">
        <v>307</v>
      </c>
      <c r="I193" s="235" t="s">
        <v>308</v>
      </c>
      <c r="J193" s="387" t="s">
        <v>309</v>
      </c>
      <c r="K193" s="388"/>
      <c r="L193" s="246" t="s">
        <v>312</v>
      </c>
      <c r="M193" s="235" t="s">
        <v>313</v>
      </c>
      <c r="N193" s="236"/>
      <c r="O193" s="236"/>
      <c r="P193" s="235"/>
      <c r="Q193" s="246"/>
      <c r="R193" s="246"/>
      <c r="S193" s="316"/>
      <c r="T193" s="235"/>
    </row>
    <row r="194" spans="1:20" hidden="1">
      <c r="A194" s="261">
        <v>12</v>
      </c>
      <c r="B194" s="265" t="s">
        <v>306</v>
      </c>
      <c r="C194" s="257">
        <v>29</v>
      </c>
      <c r="D194" s="260">
        <v>70</v>
      </c>
      <c r="E194" s="260"/>
      <c r="F194" s="260"/>
      <c r="G194" s="260"/>
      <c r="H194" s="260">
        <v>67</v>
      </c>
      <c r="I194" s="260"/>
      <c r="J194" s="260"/>
      <c r="K194" s="260"/>
      <c r="L194" s="257"/>
      <c r="M194" s="260"/>
      <c r="N194" s="260"/>
      <c r="O194" s="260"/>
      <c r="P194" s="260"/>
      <c r="Q194" s="257"/>
      <c r="R194" s="317"/>
      <c r="S194" s="257"/>
      <c r="T194" s="260"/>
    </row>
    <row r="195" spans="1:20" hidden="1">
      <c r="B195" s="243" t="s">
        <v>225</v>
      </c>
      <c r="C195" s="257"/>
      <c r="D195" s="260"/>
      <c r="E195" s="260"/>
      <c r="F195" s="260"/>
      <c r="G195" s="260"/>
      <c r="H195" s="260"/>
      <c r="I195" s="260"/>
      <c r="J195" s="260"/>
      <c r="K195" s="260"/>
      <c r="L195" s="257"/>
      <c r="M195" s="260"/>
      <c r="N195" s="268"/>
      <c r="O195" s="268"/>
      <c r="P195" s="260"/>
      <c r="Q195" s="317"/>
      <c r="R195" s="257"/>
      <c r="S195" s="317"/>
      <c r="T195" s="268"/>
    </row>
    <row r="196" spans="1:20" hidden="1">
      <c r="B196" s="243" t="s">
        <v>225</v>
      </c>
      <c r="C196" s="257"/>
      <c r="D196" s="260"/>
      <c r="E196" s="260"/>
      <c r="F196" s="260"/>
      <c r="G196" s="260"/>
      <c r="H196" s="260"/>
      <c r="I196" s="260"/>
      <c r="J196" s="260"/>
      <c r="K196" s="260"/>
      <c r="L196" s="257"/>
      <c r="M196" s="260"/>
      <c r="N196" s="268"/>
      <c r="O196" s="268"/>
      <c r="P196" s="260"/>
      <c r="Q196" s="257"/>
      <c r="R196" s="257"/>
      <c r="S196" s="317"/>
      <c r="T196" s="268"/>
    </row>
    <row r="197" spans="1:20" ht="27.6" hidden="1">
      <c r="B197" s="229" t="s">
        <v>283</v>
      </c>
      <c r="C197" s="257"/>
      <c r="D197" s="260"/>
      <c r="E197" s="260"/>
      <c r="F197" s="260"/>
      <c r="G197" s="260"/>
      <c r="H197" s="235"/>
      <c r="I197" s="260"/>
      <c r="J197" s="260"/>
      <c r="K197" s="260"/>
      <c r="L197" s="257"/>
      <c r="M197" s="260"/>
      <c r="N197" s="268"/>
      <c r="O197" s="260"/>
      <c r="P197" s="260"/>
      <c r="Q197" s="257"/>
      <c r="R197" s="257"/>
      <c r="S197" s="317"/>
      <c r="T197" s="260"/>
    </row>
    <row r="198" spans="1:20" ht="55.2" hidden="1">
      <c r="B198" s="250" t="s">
        <v>288</v>
      </c>
      <c r="C198" s="257"/>
      <c r="D198" s="260"/>
      <c r="E198" s="260"/>
      <c r="F198" s="260"/>
      <c r="G198" s="260"/>
      <c r="H198" s="260"/>
      <c r="I198" s="260"/>
      <c r="J198" s="260"/>
      <c r="K198" s="260"/>
      <c r="L198" s="257"/>
      <c r="M198" s="260"/>
      <c r="N198" s="271"/>
      <c r="O198" s="260"/>
      <c r="P198" s="271"/>
      <c r="Q198" s="257"/>
      <c r="R198" s="257"/>
      <c r="S198" s="317"/>
      <c r="T198" s="260"/>
    </row>
    <row r="199" spans="1:20" ht="41.4" hidden="1">
      <c r="B199" s="250" t="s">
        <v>289</v>
      </c>
      <c r="C199" s="257"/>
      <c r="D199" s="260"/>
      <c r="E199" s="260"/>
      <c r="F199" s="260"/>
      <c r="G199" s="260"/>
      <c r="H199" s="260"/>
      <c r="I199" s="260"/>
      <c r="J199" s="260"/>
      <c r="K199" s="260"/>
      <c r="L199" s="257"/>
      <c r="M199" s="260"/>
      <c r="N199" s="268"/>
      <c r="O199" s="260"/>
      <c r="P199" s="260"/>
      <c r="Q199" s="257"/>
      <c r="R199" s="257"/>
      <c r="S199" s="317"/>
      <c r="T199" s="268"/>
    </row>
    <row r="200" spans="1:20" hidden="1">
      <c r="B200" s="272" t="s">
        <v>315</v>
      </c>
      <c r="C200" s="257"/>
      <c r="D200" s="260"/>
      <c r="E200" s="260"/>
      <c r="F200" s="260"/>
      <c r="G200" s="260"/>
      <c r="H200" s="260"/>
      <c r="I200" s="260"/>
      <c r="J200" s="260"/>
      <c r="K200" s="260"/>
      <c r="L200" s="257"/>
      <c r="M200" s="260"/>
      <c r="N200" s="268"/>
      <c r="O200" s="260"/>
      <c r="P200" s="260"/>
      <c r="Q200" s="257"/>
      <c r="R200" s="257"/>
      <c r="S200" s="317"/>
      <c r="T200" s="260"/>
    </row>
    <row r="201" spans="1:20" hidden="1"/>
    <row r="202" spans="1:20" hidden="1"/>
    <row r="203" spans="1:20" hidden="1">
      <c r="A203" s="261">
        <v>13</v>
      </c>
      <c r="B203" s="262" t="s">
        <v>311</v>
      </c>
      <c r="C203" s="384" t="s">
        <v>305</v>
      </c>
      <c r="D203" s="385"/>
      <c r="E203" s="385"/>
      <c r="F203" s="385"/>
      <c r="G203" s="386"/>
      <c r="H203" s="235" t="s">
        <v>307</v>
      </c>
      <c r="I203" s="235" t="s">
        <v>308</v>
      </c>
      <c r="J203" s="387" t="s">
        <v>309</v>
      </c>
      <c r="K203" s="388"/>
      <c r="L203" s="246" t="s">
        <v>312</v>
      </c>
      <c r="M203" s="235" t="s">
        <v>313</v>
      </c>
      <c r="N203" s="236"/>
      <c r="O203" s="236"/>
      <c r="P203" s="235"/>
      <c r="Q203" s="246"/>
      <c r="R203" s="246"/>
      <c r="S203" s="316"/>
      <c r="T203" s="235"/>
    </row>
    <row r="204" spans="1:20" hidden="1">
      <c r="B204" s="265" t="s">
        <v>306</v>
      </c>
      <c r="C204" s="257">
        <v>1</v>
      </c>
      <c r="D204" s="260">
        <v>44</v>
      </c>
      <c r="E204" s="260"/>
      <c r="F204" s="260"/>
      <c r="G204" s="260"/>
      <c r="H204" s="260">
        <v>73</v>
      </c>
      <c r="I204" s="260"/>
      <c r="J204" s="260"/>
      <c r="K204" s="260"/>
      <c r="L204" s="257">
        <v>45</v>
      </c>
      <c r="M204" s="260">
        <v>73</v>
      </c>
      <c r="N204" s="260"/>
      <c r="O204" s="260"/>
      <c r="P204" s="260"/>
      <c r="Q204" s="257"/>
      <c r="R204" s="317"/>
      <c r="S204" s="257"/>
      <c r="T204" s="260"/>
    </row>
    <row r="205" spans="1:20" hidden="1">
      <c r="B205" s="243" t="s">
        <v>225</v>
      </c>
      <c r="C205" s="257"/>
      <c r="D205" s="260"/>
      <c r="E205" s="260"/>
      <c r="F205" s="260"/>
      <c r="G205" s="260"/>
      <c r="H205" s="260"/>
      <c r="I205" s="260"/>
      <c r="J205" s="260"/>
      <c r="K205" s="260"/>
      <c r="L205" s="257"/>
      <c r="M205" s="260"/>
      <c r="N205" s="268"/>
      <c r="O205" s="268"/>
      <c r="P205" s="260"/>
      <c r="Q205" s="317"/>
      <c r="R205" s="257"/>
      <c r="S205" s="317"/>
      <c r="T205" s="268"/>
    </row>
    <row r="206" spans="1:20" hidden="1">
      <c r="B206" s="243" t="s">
        <v>225</v>
      </c>
      <c r="C206" s="257"/>
      <c r="D206" s="260"/>
      <c r="E206" s="260"/>
      <c r="F206" s="260"/>
      <c r="G206" s="260"/>
      <c r="H206" s="260"/>
      <c r="I206" s="260"/>
      <c r="J206" s="260"/>
      <c r="K206" s="260"/>
      <c r="L206" s="257"/>
      <c r="M206" s="260"/>
      <c r="N206" s="268"/>
      <c r="O206" s="268"/>
      <c r="P206" s="260"/>
      <c r="Q206" s="257"/>
      <c r="R206" s="257"/>
      <c r="S206" s="317"/>
      <c r="T206" s="268"/>
    </row>
    <row r="207" spans="1:20" ht="27.6" hidden="1">
      <c r="B207" s="229" t="s">
        <v>283</v>
      </c>
      <c r="C207" s="257"/>
      <c r="D207" s="260"/>
      <c r="E207" s="260"/>
      <c r="F207" s="260"/>
      <c r="G207" s="260"/>
      <c r="H207" s="235"/>
      <c r="I207" s="260"/>
      <c r="J207" s="260"/>
      <c r="K207" s="260"/>
      <c r="L207" s="257"/>
      <c r="M207" s="260"/>
      <c r="N207" s="268"/>
      <c r="O207" s="260"/>
      <c r="P207" s="260"/>
      <c r="Q207" s="257"/>
      <c r="R207" s="257"/>
      <c r="S207" s="317"/>
      <c r="T207" s="260"/>
    </row>
    <row r="208" spans="1:20" hidden="1">
      <c r="B208" s="247" t="s">
        <v>317</v>
      </c>
      <c r="C208" s="257"/>
      <c r="D208" s="260"/>
      <c r="E208" s="260"/>
      <c r="F208" s="260"/>
      <c r="G208" s="260"/>
      <c r="H208" s="260"/>
      <c r="I208" s="260"/>
      <c r="J208" s="260"/>
      <c r="K208" s="260"/>
      <c r="L208" s="257"/>
      <c r="M208" s="260"/>
      <c r="N208" s="268"/>
      <c r="O208" s="260"/>
      <c r="P208" s="260"/>
      <c r="Q208" s="257"/>
      <c r="R208" s="257"/>
      <c r="S208" s="317"/>
      <c r="T208" s="260"/>
    </row>
    <row r="209" spans="1:20" ht="55.2" hidden="1">
      <c r="B209" s="250" t="s">
        <v>288</v>
      </c>
      <c r="C209" s="257"/>
      <c r="D209" s="260"/>
      <c r="E209" s="260"/>
      <c r="F209" s="260"/>
      <c r="G209" s="260"/>
      <c r="H209" s="260"/>
      <c r="I209" s="260"/>
      <c r="J209" s="260"/>
      <c r="K209" s="260"/>
      <c r="L209" s="257"/>
      <c r="M209" s="260"/>
      <c r="N209" s="271"/>
      <c r="O209" s="260"/>
      <c r="P209" s="274"/>
      <c r="Q209" s="257"/>
      <c r="R209" s="257"/>
      <c r="S209" s="317"/>
      <c r="T209" s="268"/>
    </row>
    <row r="210" spans="1:20" ht="41.4" hidden="1">
      <c r="B210" s="250" t="s">
        <v>289</v>
      </c>
      <c r="C210" s="257"/>
      <c r="D210" s="260"/>
      <c r="E210" s="260"/>
      <c r="F210" s="260"/>
      <c r="G210" s="260"/>
      <c r="H210" s="260"/>
      <c r="I210" s="260"/>
      <c r="J210" s="260"/>
      <c r="K210" s="260"/>
      <c r="L210" s="257"/>
      <c r="M210" s="260"/>
      <c r="N210" s="268"/>
      <c r="O210" s="260"/>
      <c r="P210" s="260"/>
      <c r="Q210" s="257"/>
      <c r="R210" s="257"/>
      <c r="S210" s="317"/>
      <c r="T210" s="260"/>
    </row>
    <row r="211" spans="1:20" hidden="1">
      <c r="B211" s="272" t="s">
        <v>315</v>
      </c>
      <c r="C211" s="257"/>
      <c r="D211" s="260"/>
      <c r="E211" s="260"/>
      <c r="F211" s="260"/>
      <c r="G211" s="260"/>
      <c r="H211" s="260"/>
      <c r="I211" s="260"/>
      <c r="J211" s="260"/>
      <c r="K211" s="260"/>
      <c r="L211" s="257"/>
      <c r="M211" s="260"/>
      <c r="N211" s="268"/>
      <c r="O211" s="260"/>
      <c r="P211" s="260"/>
      <c r="Q211" s="257"/>
      <c r="R211" s="257"/>
      <c r="S211" s="317"/>
      <c r="T211" s="260"/>
    </row>
    <row r="212" spans="1:20" hidden="1"/>
    <row r="213" spans="1:20" hidden="1"/>
    <row r="214" spans="1:20" hidden="1">
      <c r="A214" s="261">
        <v>14</v>
      </c>
      <c r="B214" s="262" t="s">
        <v>311</v>
      </c>
      <c r="C214" s="384" t="s">
        <v>305</v>
      </c>
      <c r="D214" s="385"/>
      <c r="E214" s="385"/>
      <c r="F214" s="385"/>
      <c r="G214" s="386"/>
      <c r="H214" s="235" t="s">
        <v>307</v>
      </c>
      <c r="I214" s="235" t="s">
        <v>308</v>
      </c>
      <c r="J214" s="387" t="s">
        <v>309</v>
      </c>
      <c r="K214" s="388"/>
      <c r="L214" s="246" t="s">
        <v>312</v>
      </c>
      <c r="M214" s="235" t="s">
        <v>313</v>
      </c>
      <c r="N214" s="236"/>
      <c r="O214" s="236"/>
      <c r="P214" s="235"/>
      <c r="Q214" s="246"/>
      <c r="R214" s="246"/>
      <c r="S214" s="316"/>
      <c r="T214" s="235"/>
    </row>
    <row r="215" spans="1:20" hidden="1">
      <c r="B215" s="265" t="s">
        <v>306</v>
      </c>
      <c r="C215" s="257">
        <v>32</v>
      </c>
      <c r="D215" s="260"/>
      <c r="E215" s="260"/>
      <c r="F215" s="260"/>
      <c r="G215" s="260"/>
      <c r="H215" s="260">
        <v>198</v>
      </c>
      <c r="I215" s="260"/>
      <c r="J215" s="260"/>
      <c r="K215" s="260">
        <v>10</v>
      </c>
      <c r="L215" s="257"/>
      <c r="M215" s="260">
        <v>198</v>
      </c>
      <c r="N215" s="260"/>
      <c r="O215" s="260"/>
      <c r="P215" s="260"/>
      <c r="Q215" s="257"/>
      <c r="R215" s="317"/>
      <c r="S215" s="257"/>
      <c r="T215" s="260"/>
    </row>
    <row r="216" spans="1:20" hidden="1">
      <c r="B216" s="243" t="s">
        <v>225</v>
      </c>
      <c r="C216" s="257"/>
      <c r="D216" s="260"/>
      <c r="E216" s="260"/>
      <c r="F216" s="260"/>
      <c r="G216" s="260"/>
      <c r="H216" s="260"/>
      <c r="I216" s="260"/>
      <c r="J216" s="260"/>
      <c r="K216" s="260"/>
      <c r="L216" s="257"/>
      <c r="M216" s="260"/>
      <c r="N216" s="268"/>
      <c r="O216" s="268"/>
      <c r="P216" s="260"/>
      <c r="Q216" s="317"/>
      <c r="R216" s="257"/>
      <c r="S216" s="317"/>
      <c r="T216" s="268"/>
    </row>
    <row r="217" spans="1:20" hidden="1">
      <c r="B217" s="243" t="s">
        <v>225</v>
      </c>
      <c r="C217" s="257"/>
      <c r="D217" s="260"/>
      <c r="E217" s="260"/>
      <c r="F217" s="260"/>
      <c r="G217" s="260"/>
      <c r="H217" s="260"/>
      <c r="I217" s="260"/>
      <c r="J217" s="260"/>
      <c r="K217" s="260"/>
      <c r="L217" s="257"/>
      <c r="M217" s="260"/>
      <c r="N217" s="268"/>
      <c r="O217" s="268"/>
      <c r="P217" s="260"/>
      <c r="Q217" s="257"/>
      <c r="R217" s="257"/>
      <c r="S217" s="317"/>
      <c r="T217" s="268"/>
    </row>
    <row r="218" spans="1:20" ht="27.6" hidden="1">
      <c r="B218" s="229" t="s">
        <v>283</v>
      </c>
      <c r="C218" s="257"/>
      <c r="D218" s="260"/>
      <c r="E218" s="260"/>
      <c r="F218" s="260"/>
      <c r="G218" s="260"/>
      <c r="H218" s="235"/>
      <c r="I218" s="260"/>
      <c r="J218" s="260"/>
      <c r="K218" s="260"/>
      <c r="L218" s="257"/>
      <c r="M218" s="260"/>
      <c r="N218" s="268"/>
      <c r="O218" s="260"/>
      <c r="P218" s="260"/>
      <c r="Q218" s="257"/>
      <c r="R218" s="257"/>
      <c r="S218" s="317"/>
      <c r="T218" s="260"/>
    </row>
    <row r="219" spans="1:20" hidden="1">
      <c r="B219" s="247" t="s">
        <v>317</v>
      </c>
      <c r="C219" s="257"/>
      <c r="D219" s="260"/>
      <c r="E219" s="260"/>
      <c r="F219" s="260"/>
      <c r="G219" s="260"/>
      <c r="H219" s="260"/>
      <c r="I219" s="260"/>
      <c r="J219" s="260"/>
      <c r="K219" s="260"/>
      <c r="L219" s="257"/>
      <c r="M219" s="260"/>
      <c r="N219" s="268"/>
      <c r="O219" s="260"/>
      <c r="P219" s="260"/>
      <c r="Q219" s="257"/>
      <c r="R219" s="257"/>
      <c r="S219" s="317"/>
      <c r="T219" s="260"/>
    </row>
    <row r="220" spans="1:20" ht="55.2" hidden="1">
      <c r="B220" s="250" t="s">
        <v>288</v>
      </c>
      <c r="C220" s="257"/>
      <c r="D220" s="260"/>
      <c r="E220" s="260"/>
      <c r="F220" s="260"/>
      <c r="G220" s="260"/>
      <c r="H220" s="260"/>
      <c r="I220" s="260"/>
      <c r="J220" s="260"/>
      <c r="K220" s="260"/>
      <c r="L220" s="257"/>
      <c r="M220" s="260"/>
      <c r="N220" s="271"/>
      <c r="O220" s="260"/>
      <c r="P220" s="274"/>
      <c r="Q220" s="257"/>
      <c r="R220" s="257"/>
      <c r="S220" s="317"/>
      <c r="T220" s="268"/>
    </row>
    <row r="221" spans="1:20" ht="41.4" hidden="1">
      <c r="B221" s="250" t="s">
        <v>289</v>
      </c>
      <c r="C221" s="257"/>
      <c r="D221" s="260"/>
      <c r="E221" s="260"/>
      <c r="F221" s="260"/>
      <c r="G221" s="260"/>
      <c r="H221" s="260"/>
      <c r="I221" s="260"/>
      <c r="J221" s="260"/>
      <c r="K221" s="260"/>
      <c r="L221" s="257"/>
      <c r="M221" s="260"/>
      <c r="N221" s="268"/>
      <c r="O221" s="260"/>
      <c r="P221" s="260"/>
      <c r="Q221" s="257"/>
      <c r="R221" s="257"/>
      <c r="S221" s="317"/>
      <c r="T221" s="260"/>
    </row>
    <row r="222" spans="1:20" hidden="1">
      <c r="B222" s="272" t="s">
        <v>315</v>
      </c>
      <c r="C222" s="257"/>
      <c r="D222" s="260"/>
      <c r="E222" s="260"/>
      <c r="F222" s="260"/>
      <c r="G222" s="260"/>
      <c r="H222" s="260"/>
      <c r="I222" s="260"/>
      <c r="J222" s="260"/>
      <c r="K222" s="260"/>
      <c r="L222" s="257"/>
      <c r="M222" s="260"/>
      <c r="N222" s="268"/>
      <c r="O222" s="260"/>
      <c r="P222" s="260"/>
      <c r="Q222" s="257"/>
      <c r="R222" s="257"/>
      <c r="S222" s="317"/>
      <c r="T222" s="260"/>
    </row>
    <row r="223" spans="1:20" hidden="1"/>
    <row r="224" spans="1:20" hidden="1"/>
    <row r="225" spans="1:20" hidden="1">
      <c r="A225" s="261">
        <v>15</v>
      </c>
      <c r="B225" s="262" t="s">
        <v>311</v>
      </c>
      <c r="C225" s="384" t="s">
        <v>305</v>
      </c>
      <c r="D225" s="385"/>
      <c r="E225" s="385"/>
      <c r="F225" s="385"/>
      <c r="G225" s="386"/>
      <c r="H225" s="235" t="s">
        <v>307</v>
      </c>
      <c r="I225" s="235" t="s">
        <v>308</v>
      </c>
      <c r="J225" s="387" t="s">
        <v>309</v>
      </c>
      <c r="K225" s="388"/>
      <c r="L225" s="246" t="s">
        <v>312</v>
      </c>
      <c r="M225" s="235" t="s">
        <v>313</v>
      </c>
      <c r="N225" s="236"/>
      <c r="O225" s="236"/>
      <c r="P225" s="235"/>
      <c r="Q225" s="246"/>
      <c r="R225" s="246"/>
      <c r="S225" s="316"/>
      <c r="T225" s="235"/>
    </row>
    <row r="226" spans="1:20" hidden="1">
      <c r="B226" s="265" t="s">
        <v>306</v>
      </c>
      <c r="C226" s="257">
        <v>36</v>
      </c>
      <c r="D226" s="260"/>
      <c r="E226" s="260"/>
      <c r="F226" s="260"/>
      <c r="G226" s="260"/>
      <c r="H226" s="260">
        <v>96</v>
      </c>
      <c r="I226" s="260"/>
      <c r="J226" s="260"/>
      <c r="K226" s="260"/>
      <c r="L226" s="257"/>
      <c r="M226" s="260"/>
      <c r="N226" s="260"/>
      <c r="O226" s="260"/>
      <c r="P226" s="260"/>
      <c r="Q226" s="257"/>
      <c r="R226" s="317"/>
      <c r="S226" s="257"/>
      <c r="T226" s="260"/>
    </row>
    <row r="227" spans="1:20" hidden="1">
      <c r="B227" s="243" t="s">
        <v>225</v>
      </c>
      <c r="C227" s="257"/>
      <c r="D227" s="260"/>
      <c r="E227" s="260"/>
      <c r="F227" s="260"/>
      <c r="G227" s="260"/>
      <c r="H227" s="260"/>
      <c r="I227" s="260"/>
      <c r="J227" s="260"/>
      <c r="K227" s="260"/>
      <c r="L227" s="257"/>
      <c r="M227" s="260"/>
      <c r="N227" s="268"/>
      <c r="O227" s="268"/>
      <c r="P227" s="260"/>
      <c r="Q227" s="317"/>
      <c r="R227" s="257"/>
      <c r="S227" s="317"/>
      <c r="T227" s="268"/>
    </row>
    <row r="228" spans="1:20" hidden="1">
      <c r="B228" s="243" t="s">
        <v>225</v>
      </c>
      <c r="C228" s="257"/>
      <c r="D228" s="260"/>
      <c r="E228" s="260"/>
      <c r="F228" s="260"/>
      <c r="G228" s="260"/>
      <c r="H228" s="260"/>
      <c r="I228" s="260"/>
      <c r="J228" s="260"/>
      <c r="K228" s="260"/>
      <c r="L228" s="257"/>
      <c r="M228" s="260"/>
      <c r="N228" s="268"/>
      <c r="O228" s="268"/>
      <c r="P228" s="260"/>
      <c r="Q228" s="257"/>
      <c r="R228" s="257"/>
      <c r="S228" s="317"/>
      <c r="T228" s="268"/>
    </row>
    <row r="229" spans="1:20" ht="27.6" hidden="1">
      <c r="B229" s="229" t="s">
        <v>283</v>
      </c>
      <c r="C229" s="257"/>
      <c r="D229" s="260"/>
      <c r="E229" s="260"/>
      <c r="F229" s="260"/>
      <c r="G229" s="260"/>
      <c r="H229" s="235"/>
      <c r="I229" s="260"/>
      <c r="J229" s="260"/>
      <c r="K229" s="260"/>
      <c r="L229" s="257"/>
      <c r="M229" s="260"/>
      <c r="N229" s="268"/>
      <c r="O229" s="260"/>
      <c r="P229" s="260"/>
      <c r="Q229" s="257"/>
      <c r="R229" s="257"/>
      <c r="S229" s="317"/>
      <c r="T229" s="260"/>
    </row>
    <row r="230" spans="1:20" hidden="1">
      <c r="B230" s="247" t="s">
        <v>317</v>
      </c>
      <c r="C230" s="257"/>
      <c r="D230" s="260"/>
      <c r="E230" s="260"/>
      <c r="F230" s="260"/>
      <c r="G230" s="260"/>
      <c r="H230" s="260"/>
      <c r="I230" s="260"/>
      <c r="J230" s="260"/>
      <c r="K230" s="260"/>
      <c r="L230" s="257"/>
      <c r="M230" s="260"/>
      <c r="N230" s="268"/>
      <c r="O230" s="260"/>
      <c r="P230" s="260"/>
      <c r="Q230" s="257"/>
      <c r="R230" s="257"/>
      <c r="S230" s="317"/>
      <c r="T230" s="260"/>
    </row>
    <row r="231" spans="1:20" ht="55.2" hidden="1">
      <c r="B231" s="250" t="s">
        <v>288</v>
      </c>
      <c r="C231" s="257"/>
      <c r="D231" s="260"/>
      <c r="E231" s="260"/>
      <c r="F231" s="260"/>
      <c r="G231" s="260"/>
      <c r="H231" s="260"/>
      <c r="I231" s="260"/>
      <c r="J231" s="260"/>
      <c r="K231" s="260"/>
      <c r="L231" s="257"/>
      <c r="M231" s="260"/>
      <c r="N231" s="271"/>
      <c r="O231" s="260"/>
      <c r="P231" s="271"/>
      <c r="Q231" s="257"/>
      <c r="R231" s="257"/>
      <c r="S231" s="317"/>
      <c r="T231" s="268"/>
    </row>
    <row r="232" spans="1:20" ht="41.4" hidden="1">
      <c r="B232" s="250" t="s">
        <v>289</v>
      </c>
      <c r="C232" s="257"/>
      <c r="D232" s="260"/>
      <c r="E232" s="260"/>
      <c r="F232" s="260"/>
      <c r="G232" s="260"/>
      <c r="H232" s="260"/>
      <c r="I232" s="260"/>
      <c r="J232" s="260"/>
      <c r="K232" s="260"/>
      <c r="L232" s="257"/>
      <c r="M232" s="260"/>
      <c r="N232" s="268"/>
      <c r="O232" s="260"/>
      <c r="P232" s="260"/>
      <c r="Q232" s="257"/>
      <c r="R232" s="257"/>
      <c r="S232" s="317"/>
      <c r="T232" s="260"/>
    </row>
    <row r="233" spans="1:20" hidden="1">
      <c r="B233" s="272" t="s">
        <v>315</v>
      </c>
      <c r="C233" s="257"/>
      <c r="D233" s="260"/>
      <c r="E233" s="260"/>
      <c r="F233" s="260"/>
      <c r="G233" s="260"/>
      <c r="H233" s="260"/>
      <c r="I233" s="260"/>
      <c r="J233" s="260"/>
      <c r="K233" s="260"/>
      <c r="L233" s="257"/>
      <c r="M233" s="260"/>
      <c r="N233" s="268"/>
      <c r="O233" s="260"/>
      <c r="P233" s="260"/>
      <c r="Q233" s="257"/>
      <c r="R233" s="257"/>
      <c r="S233" s="317"/>
      <c r="T233" s="260"/>
    </row>
    <row r="234" spans="1:20" hidden="1"/>
    <row r="235" spans="1:20" hidden="1"/>
    <row r="236" spans="1:20" hidden="1">
      <c r="A236" s="261">
        <v>17</v>
      </c>
      <c r="B236" s="262" t="s">
        <v>311</v>
      </c>
      <c r="C236" s="384" t="s">
        <v>305</v>
      </c>
      <c r="D236" s="385"/>
      <c r="E236" s="385"/>
      <c r="F236" s="385"/>
      <c r="G236" s="386"/>
      <c r="H236" s="235" t="s">
        <v>307</v>
      </c>
      <c r="I236" s="235" t="s">
        <v>308</v>
      </c>
      <c r="J236" s="387" t="s">
        <v>309</v>
      </c>
      <c r="K236" s="388"/>
      <c r="L236" s="246" t="s">
        <v>312</v>
      </c>
      <c r="M236" s="235" t="s">
        <v>313</v>
      </c>
      <c r="N236" s="236"/>
      <c r="O236" s="236"/>
      <c r="P236" s="235"/>
      <c r="Q236" s="246"/>
      <c r="R236" s="246"/>
      <c r="S236" s="316"/>
      <c r="T236" s="235"/>
    </row>
    <row r="237" spans="1:20" hidden="1">
      <c r="B237" s="265" t="s">
        <v>306</v>
      </c>
      <c r="C237" s="257">
        <v>32</v>
      </c>
      <c r="D237" s="260"/>
      <c r="E237" s="260"/>
      <c r="F237" s="260"/>
      <c r="G237" s="260"/>
      <c r="H237" s="260">
        <v>212</v>
      </c>
      <c r="I237" s="260"/>
      <c r="J237" s="260"/>
      <c r="K237" s="260"/>
      <c r="L237" s="257"/>
      <c r="M237" s="260"/>
      <c r="N237" s="260"/>
      <c r="O237" s="260"/>
      <c r="P237" s="260"/>
      <c r="Q237" s="257"/>
      <c r="R237" s="317"/>
      <c r="S237" s="257"/>
      <c r="T237" s="260"/>
    </row>
    <row r="238" spans="1:20" hidden="1">
      <c r="B238" s="243" t="s">
        <v>225</v>
      </c>
      <c r="C238" s="257"/>
      <c r="D238" s="260"/>
      <c r="E238" s="260"/>
      <c r="F238" s="260"/>
      <c r="G238" s="260"/>
      <c r="H238" s="260"/>
      <c r="I238" s="260"/>
      <c r="J238" s="260"/>
      <c r="K238" s="260"/>
      <c r="L238" s="257"/>
      <c r="M238" s="260"/>
      <c r="N238" s="268"/>
      <c r="O238" s="268"/>
      <c r="P238" s="260"/>
      <c r="Q238" s="317"/>
      <c r="R238" s="257"/>
      <c r="S238" s="317"/>
      <c r="T238" s="268"/>
    </row>
    <row r="239" spans="1:20" hidden="1">
      <c r="B239" s="243" t="s">
        <v>225</v>
      </c>
      <c r="C239" s="257"/>
      <c r="D239" s="260"/>
      <c r="E239" s="260"/>
      <c r="F239" s="260"/>
      <c r="G239" s="260"/>
      <c r="H239" s="260"/>
      <c r="I239" s="260"/>
      <c r="J239" s="260"/>
      <c r="K239" s="260"/>
      <c r="L239" s="257"/>
      <c r="M239" s="260"/>
      <c r="N239" s="268"/>
      <c r="O239" s="268"/>
      <c r="P239" s="260"/>
      <c r="Q239" s="257"/>
      <c r="R239" s="257"/>
      <c r="S239" s="317"/>
      <c r="T239" s="268"/>
    </row>
    <row r="240" spans="1:20" ht="27.6" hidden="1">
      <c r="B240" s="229" t="s">
        <v>283</v>
      </c>
      <c r="C240" s="257"/>
      <c r="D240" s="260"/>
      <c r="E240" s="260"/>
      <c r="F240" s="260"/>
      <c r="G240" s="260"/>
      <c r="H240" s="235"/>
      <c r="I240" s="260"/>
      <c r="J240" s="260"/>
      <c r="K240" s="260"/>
      <c r="L240" s="257"/>
      <c r="M240" s="260"/>
      <c r="N240" s="268"/>
      <c r="O240" s="260"/>
      <c r="P240" s="260"/>
      <c r="Q240" s="257"/>
      <c r="R240" s="257"/>
      <c r="S240" s="317"/>
      <c r="T240" s="260"/>
    </row>
    <row r="241" spans="1:20" hidden="1">
      <c r="B241" s="247" t="s">
        <v>317</v>
      </c>
      <c r="C241" s="257"/>
      <c r="D241" s="260"/>
      <c r="E241" s="260"/>
      <c r="F241" s="260"/>
      <c r="G241" s="260"/>
      <c r="H241" s="260"/>
      <c r="I241" s="260"/>
      <c r="J241" s="260"/>
      <c r="K241" s="260"/>
      <c r="L241" s="257"/>
      <c r="M241" s="260"/>
      <c r="N241" s="268"/>
      <c r="O241" s="260"/>
      <c r="P241" s="260"/>
      <c r="Q241" s="257"/>
      <c r="R241" s="257"/>
      <c r="S241" s="317"/>
      <c r="T241" s="260"/>
    </row>
    <row r="242" spans="1:20" ht="55.2" hidden="1">
      <c r="B242" s="250" t="s">
        <v>288</v>
      </c>
      <c r="C242" s="257"/>
      <c r="D242" s="260"/>
      <c r="E242" s="260"/>
      <c r="F242" s="260"/>
      <c r="G242" s="260"/>
      <c r="H242" s="260"/>
      <c r="I242" s="260"/>
      <c r="J242" s="260"/>
      <c r="K242" s="260"/>
      <c r="L242" s="257"/>
      <c r="M242" s="260"/>
      <c r="N242" s="271"/>
      <c r="O242" s="260"/>
      <c r="P242" s="271"/>
      <c r="Q242" s="257"/>
      <c r="R242" s="257"/>
      <c r="S242" s="317"/>
      <c r="T242" s="268"/>
    </row>
    <row r="243" spans="1:20" ht="41.4" hidden="1">
      <c r="B243" s="250" t="s">
        <v>289</v>
      </c>
      <c r="C243" s="257"/>
      <c r="D243" s="260"/>
      <c r="E243" s="260"/>
      <c r="F243" s="260"/>
      <c r="G243" s="260"/>
      <c r="H243" s="260"/>
      <c r="I243" s="260"/>
      <c r="J243" s="260"/>
      <c r="K243" s="260"/>
      <c r="L243" s="257"/>
      <c r="M243" s="260"/>
      <c r="N243" s="268"/>
      <c r="O243" s="260"/>
      <c r="P243" s="260"/>
      <c r="Q243" s="257"/>
      <c r="R243" s="257"/>
      <c r="S243" s="317"/>
      <c r="T243" s="260"/>
    </row>
    <row r="244" spans="1:20" hidden="1">
      <c r="B244" s="272" t="s">
        <v>315</v>
      </c>
      <c r="C244" s="257"/>
      <c r="D244" s="260"/>
      <c r="E244" s="260"/>
      <c r="F244" s="260"/>
      <c r="G244" s="260"/>
      <c r="H244" s="260"/>
      <c r="I244" s="260"/>
      <c r="J244" s="260"/>
      <c r="K244" s="260"/>
      <c r="L244" s="257"/>
      <c r="M244" s="260"/>
      <c r="N244" s="268"/>
      <c r="O244" s="260"/>
      <c r="P244" s="260"/>
      <c r="Q244" s="257"/>
      <c r="R244" s="257"/>
      <c r="S244" s="317"/>
      <c r="T244" s="260"/>
    </row>
    <row r="245" spans="1:20" hidden="1"/>
    <row r="246" spans="1:20" hidden="1"/>
    <row r="247" spans="1:20" hidden="1">
      <c r="A247" s="261">
        <v>18</v>
      </c>
      <c r="B247" s="262" t="s">
        <v>311</v>
      </c>
      <c r="C247" s="384" t="s">
        <v>305</v>
      </c>
      <c r="D247" s="385"/>
      <c r="E247" s="385"/>
      <c r="F247" s="385"/>
      <c r="G247" s="386"/>
      <c r="H247" s="235" t="s">
        <v>307</v>
      </c>
      <c r="I247" s="235" t="s">
        <v>308</v>
      </c>
      <c r="J247" s="387" t="s">
        <v>309</v>
      </c>
      <c r="K247" s="388"/>
      <c r="L247" s="246" t="s">
        <v>312</v>
      </c>
      <c r="M247" s="235" t="s">
        <v>313</v>
      </c>
      <c r="N247" s="236"/>
      <c r="O247" s="236"/>
      <c r="P247" s="235"/>
      <c r="Q247" s="246"/>
      <c r="R247" s="246"/>
      <c r="S247" s="316"/>
      <c r="T247" s="235"/>
    </row>
    <row r="248" spans="1:20" hidden="1">
      <c r="B248" s="265" t="s">
        <v>306</v>
      </c>
      <c r="C248" s="257">
        <v>31</v>
      </c>
      <c r="D248" s="260">
        <v>32</v>
      </c>
      <c r="E248" s="260"/>
      <c r="F248" s="260"/>
      <c r="G248" s="260"/>
      <c r="H248" s="260">
        <v>76</v>
      </c>
      <c r="I248" s="260"/>
      <c r="J248" s="260"/>
      <c r="K248" s="260"/>
      <c r="L248" s="257"/>
      <c r="M248" s="260"/>
      <c r="N248" s="260"/>
      <c r="O248" s="260"/>
      <c r="P248" s="260"/>
      <c r="Q248" s="257"/>
      <c r="R248" s="317"/>
      <c r="S248" s="257"/>
      <c r="T248" s="260"/>
    </row>
    <row r="249" spans="1:20" hidden="1">
      <c r="B249" s="243" t="s">
        <v>225</v>
      </c>
      <c r="C249" s="257"/>
      <c r="D249" s="260"/>
      <c r="E249" s="260"/>
      <c r="F249" s="260"/>
      <c r="G249" s="260"/>
      <c r="H249" s="260"/>
      <c r="I249" s="260"/>
      <c r="J249" s="260"/>
      <c r="K249" s="260"/>
      <c r="L249" s="257"/>
      <c r="M249" s="260"/>
      <c r="N249" s="268"/>
      <c r="O249" s="268"/>
      <c r="P249" s="260"/>
      <c r="Q249" s="317"/>
      <c r="R249" s="257"/>
      <c r="S249" s="317"/>
      <c r="T249" s="268"/>
    </row>
    <row r="250" spans="1:20" hidden="1">
      <c r="B250" s="243" t="s">
        <v>225</v>
      </c>
      <c r="C250" s="257"/>
      <c r="D250" s="260"/>
      <c r="E250" s="260"/>
      <c r="F250" s="260"/>
      <c r="G250" s="260"/>
      <c r="H250" s="260"/>
      <c r="I250" s="260"/>
      <c r="J250" s="260"/>
      <c r="K250" s="260"/>
      <c r="L250" s="257"/>
      <c r="M250" s="260"/>
      <c r="N250" s="268"/>
      <c r="O250" s="268"/>
      <c r="P250" s="260"/>
      <c r="Q250" s="257"/>
      <c r="R250" s="257"/>
      <c r="S250" s="317"/>
      <c r="T250" s="268"/>
    </row>
    <row r="251" spans="1:20" ht="27.6" hidden="1">
      <c r="B251" s="229" t="s">
        <v>283</v>
      </c>
      <c r="C251" s="257"/>
      <c r="D251" s="260"/>
      <c r="E251" s="260"/>
      <c r="F251" s="260"/>
      <c r="G251" s="260"/>
      <c r="H251" s="235"/>
      <c r="I251" s="260"/>
      <c r="J251" s="260"/>
      <c r="K251" s="260"/>
      <c r="L251" s="257"/>
      <c r="M251" s="260"/>
      <c r="N251" s="268"/>
      <c r="O251" s="260"/>
      <c r="P251" s="260"/>
      <c r="Q251" s="257"/>
      <c r="R251" s="257"/>
      <c r="S251" s="317"/>
      <c r="T251" s="260"/>
    </row>
    <row r="252" spans="1:20" hidden="1">
      <c r="B252" s="229" t="s">
        <v>317</v>
      </c>
      <c r="C252" s="257"/>
      <c r="D252" s="260"/>
      <c r="E252" s="260"/>
      <c r="F252" s="260"/>
      <c r="G252" s="260"/>
      <c r="H252" s="235"/>
      <c r="I252" s="260"/>
      <c r="J252" s="260"/>
      <c r="K252" s="260"/>
      <c r="L252" s="257"/>
      <c r="M252" s="260"/>
      <c r="N252" s="268"/>
      <c r="O252" s="260"/>
      <c r="P252" s="260"/>
      <c r="Q252" s="257"/>
      <c r="R252" s="257"/>
      <c r="S252" s="317"/>
      <c r="T252" s="260"/>
    </row>
    <row r="253" spans="1:20" ht="55.2" hidden="1">
      <c r="B253" s="250" t="s">
        <v>288</v>
      </c>
      <c r="C253" s="257"/>
      <c r="D253" s="260"/>
      <c r="E253" s="260"/>
      <c r="F253" s="260"/>
      <c r="G253" s="260"/>
      <c r="H253" s="260"/>
      <c r="I253" s="260"/>
      <c r="J253" s="260"/>
      <c r="K253" s="260"/>
      <c r="L253" s="257"/>
      <c r="M253" s="260"/>
      <c r="N253" s="271"/>
      <c r="O253" s="260"/>
      <c r="P253" s="271"/>
      <c r="Q253" s="257"/>
      <c r="R253" s="257"/>
      <c r="S253" s="317"/>
      <c r="T253" s="268"/>
    </row>
    <row r="254" spans="1:20" ht="41.4" hidden="1">
      <c r="B254" s="250" t="s">
        <v>289</v>
      </c>
      <c r="C254" s="257"/>
      <c r="D254" s="260"/>
      <c r="E254" s="260"/>
      <c r="F254" s="260"/>
      <c r="G254" s="260"/>
      <c r="H254" s="260"/>
      <c r="I254" s="260"/>
      <c r="J254" s="260"/>
      <c r="K254" s="260"/>
      <c r="L254" s="257"/>
      <c r="M254" s="260"/>
      <c r="N254" s="268"/>
      <c r="O254" s="260"/>
      <c r="P254" s="260"/>
      <c r="Q254" s="257"/>
      <c r="R254" s="257"/>
      <c r="S254" s="317"/>
      <c r="T254" s="260"/>
    </row>
    <row r="255" spans="1:20" hidden="1">
      <c r="B255" s="272" t="s">
        <v>315</v>
      </c>
      <c r="C255" s="257"/>
      <c r="D255" s="260"/>
      <c r="E255" s="260"/>
      <c r="F255" s="260"/>
      <c r="G255" s="260"/>
      <c r="H255" s="260"/>
      <c r="I255" s="260"/>
      <c r="J255" s="260"/>
      <c r="K255" s="260"/>
      <c r="L255" s="257"/>
      <c r="M255" s="260"/>
      <c r="N255" s="268"/>
      <c r="O255" s="260"/>
      <c r="P255" s="260"/>
      <c r="Q255" s="257"/>
      <c r="R255" s="257"/>
      <c r="S255" s="317"/>
      <c r="T255" s="260"/>
    </row>
    <row r="256" spans="1:20" hidden="1"/>
    <row r="257" spans="14:19" hidden="1"/>
    <row r="258" spans="14:19">
      <c r="N258" s="256"/>
      <c r="O258" s="256"/>
    </row>
    <row r="259" spans="14:19">
      <c r="Q259" s="237"/>
    </row>
    <row r="263" spans="14:19">
      <c r="S263" s="237"/>
    </row>
  </sheetData>
  <mergeCells count="40">
    <mergeCell ref="A7:V7"/>
    <mergeCell ref="E10:I10"/>
    <mergeCell ref="J10:M10"/>
    <mergeCell ref="N10:V10"/>
    <mergeCell ref="A121:M121"/>
    <mergeCell ref="N11:T11"/>
    <mergeCell ref="C15:C17"/>
    <mergeCell ref="C26:C27"/>
    <mergeCell ref="C28:C29"/>
    <mergeCell ref="C37:C38"/>
    <mergeCell ref="C48:C49"/>
    <mergeCell ref="C59:C60"/>
    <mergeCell ref="C68:C69"/>
    <mergeCell ref="C79:C81"/>
    <mergeCell ref="C83:C84"/>
    <mergeCell ref="C105:C106"/>
    <mergeCell ref="C133:G133"/>
    <mergeCell ref="J133:K133"/>
    <mergeCell ref="C143:G143"/>
    <mergeCell ref="J143:K143"/>
    <mergeCell ref="C151:G151"/>
    <mergeCell ref="J151:K151"/>
    <mergeCell ref="C162:G162"/>
    <mergeCell ref="J162:K162"/>
    <mergeCell ref="C172:G172"/>
    <mergeCell ref="J172:K172"/>
    <mergeCell ref="C182:G182"/>
    <mergeCell ref="J182:K182"/>
    <mergeCell ref="C193:G193"/>
    <mergeCell ref="J193:K193"/>
    <mergeCell ref="C203:G203"/>
    <mergeCell ref="J203:K203"/>
    <mergeCell ref="C214:G214"/>
    <mergeCell ref="J214:K214"/>
    <mergeCell ref="C225:G225"/>
    <mergeCell ref="J225:K225"/>
    <mergeCell ref="C236:G236"/>
    <mergeCell ref="J236:K236"/>
    <mergeCell ref="C247:G247"/>
    <mergeCell ref="J247:K247"/>
  </mergeCells>
  <pageMargins left="0" right="0" top="0" bottom="0" header="0.31496062992125984" footer="0.31496062992125984"/>
  <pageSetup paperSize="9" scale="50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71"/>
  <sheetViews>
    <sheetView tabSelected="1" workbookViewId="0">
      <selection activeCell="AI44" sqref="AI44"/>
    </sheetView>
  </sheetViews>
  <sheetFormatPr defaultColWidth="9.109375" defaultRowHeight="13.8"/>
  <cols>
    <col min="1" max="1" width="18.44140625" style="182" customWidth="1"/>
    <col min="2" max="2" width="26.33203125" style="182" customWidth="1"/>
    <col min="3" max="3" width="13.33203125" style="182" customWidth="1"/>
    <col min="4" max="4" width="12.33203125" style="182" customWidth="1"/>
    <col min="5" max="5" width="18.33203125" style="182" hidden="1" customWidth="1"/>
    <col min="6" max="6" width="13.33203125" style="182" hidden="1" customWidth="1"/>
    <col min="7" max="7" width="14" style="182" customWidth="1"/>
    <col min="8" max="8" width="12.6640625" style="182" customWidth="1"/>
    <col min="9" max="9" width="15.33203125" style="182" customWidth="1"/>
    <col min="10" max="10" width="17.33203125" style="182" customWidth="1"/>
    <col min="11" max="11" width="15.88671875" style="182" customWidth="1"/>
    <col min="12" max="12" width="17.6640625" style="182" customWidth="1"/>
    <col min="13" max="13" width="13.44140625" style="182" customWidth="1"/>
    <col min="14" max="15" width="7.109375" style="182" customWidth="1"/>
    <col min="16" max="16" width="10.88671875" style="182" hidden="1" customWidth="1"/>
    <col min="17" max="17" width="12.44140625" style="182" hidden="1" customWidth="1"/>
    <col min="18" max="18" width="11.44140625" style="182" hidden="1" customWidth="1"/>
    <col min="19" max="19" width="12" style="182" hidden="1" customWidth="1"/>
    <col min="20" max="20" width="11.109375" style="182" hidden="1" customWidth="1"/>
    <col min="21" max="21" width="12" style="182" hidden="1" customWidth="1"/>
    <col min="22" max="22" width="10.44140625" style="182" hidden="1" customWidth="1"/>
    <col min="23" max="23" width="9.33203125" style="182" hidden="1" customWidth="1"/>
    <col min="24" max="24" width="0" style="182" hidden="1" customWidth="1"/>
    <col min="25" max="25" width="9.5546875" style="182" hidden="1" customWidth="1"/>
    <col min="26" max="26" width="10.6640625" style="182" hidden="1" customWidth="1"/>
    <col min="27" max="27" width="6.5546875" style="182" hidden="1" customWidth="1"/>
    <col min="28" max="28" width="10.33203125" style="182" hidden="1" customWidth="1"/>
    <col min="29" max="29" width="10.77734375" style="182" hidden="1" customWidth="1"/>
    <col min="30" max="30" width="7.109375" style="182" hidden="1" customWidth="1"/>
    <col min="31" max="31" width="9.6640625" style="182" hidden="1" customWidth="1"/>
    <col min="32" max="32" width="0" style="182" hidden="1" customWidth="1"/>
    <col min="33" max="16384" width="9.109375" style="182"/>
  </cols>
  <sheetData>
    <row r="1" spans="1:31">
      <c r="K1" s="186" t="s">
        <v>175</v>
      </c>
      <c r="L1" s="183"/>
      <c r="M1" s="183"/>
      <c r="R1" s="117"/>
    </row>
    <row r="2" spans="1:31" hidden="1">
      <c r="K2" s="186" t="s">
        <v>336</v>
      </c>
      <c r="L2" s="183"/>
      <c r="M2" s="183"/>
      <c r="R2" s="117"/>
    </row>
    <row r="3" spans="1:31" hidden="1">
      <c r="K3" s="186" t="s">
        <v>175</v>
      </c>
      <c r="L3" s="183"/>
      <c r="M3" s="183"/>
      <c r="R3" s="117"/>
    </row>
    <row r="4" spans="1:31">
      <c r="K4" s="186" t="s">
        <v>361</v>
      </c>
      <c r="L4" s="183"/>
      <c r="M4" s="183"/>
      <c r="R4" s="117"/>
    </row>
    <row r="5" spans="1:31">
      <c r="A5" s="362" t="s">
        <v>333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37"/>
      <c r="N5" s="81"/>
      <c r="O5" s="81"/>
      <c r="P5" s="81"/>
      <c r="Q5" s="81"/>
      <c r="R5" s="81"/>
      <c r="S5" s="81"/>
      <c r="T5" s="81"/>
    </row>
    <row r="6" spans="1:31">
      <c r="A6" s="191" t="s">
        <v>156</v>
      </c>
    </row>
    <row r="7" spans="1:31" ht="35.4" customHeight="1">
      <c r="A7" s="404" t="s">
        <v>3</v>
      </c>
      <c r="B7" s="404" t="s">
        <v>81</v>
      </c>
      <c r="C7" s="404" t="s">
        <v>4</v>
      </c>
      <c r="D7" s="407" t="s">
        <v>5</v>
      </c>
      <c r="E7" s="408"/>
      <c r="F7" s="408"/>
      <c r="G7" s="408"/>
      <c r="H7" s="409"/>
      <c r="I7" s="410" t="s">
        <v>6</v>
      </c>
      <c r="J7" s="380" t="s">
        <v>7</v>
      </c>
      <c r="K7" s="380"/>
      <c r="L7" s="380"/>
      <c r="M7" s="423"/>
      <c r="P7" s="406" t="s">
        <v>370</v>
      </c>
      <c r="Q7" s="406" t="s">
        <v>371</v>
      </c>
      <c r="R7" s="406" t="s">
        <v>368</v>
      </c>
      <c r="S7" s="406" t="s">
        <v>369</v>
      </c>
      <c r="T7" s="406" t="s">
        <v>372</v>
      </c>
      <c r="U7" s="406" t="s">
        <v>373</v>
      </c>
    </row>
    <row r="8" spans="1:31" ht="21.6" customHeight="1">
      <c r="A8" s="405"/>
      <c r="B8" s="405"/>
      <c r="C8" s="405"/>
      <c r="D8" s="223" t="s">
        <v>205</v>
      </c>
      <c r="E8" s="201" t="s">
        <v>208</v>
      </c>
      <c r="F8" s="200" t="s">
        <v>206</v>
      </c>
      <c r="G8" s="223" t="s">
        <v>260</v>
      </c>
      <c r="H8" s="223" t="s">
        <v>335</v>
      </c>
      <c r="I8" s="410"/>
      <c r="J8" s="223" t="s">
        <v>205</v>
      </c>
      <c r="K8" s="223" t="s">
        <v>260</v>
      </c>
      <c r="L8" s="223" t="s">
        <v>335</v>
      </c>
      <c r="M8" s="424"/>
      <c r="P8" s="406"/>
      <c r="Q8" s="406"/>
      <c r="R8" s="406"/>
      <c r="S8" s="406"/>
      <c r="T8" s="406"/>
      <c r="U8" s="406"/>
    </row>
    <row r="9" spans="1:31" ht="30.6" customHeight="1">
      <c r="A9" s="297" t="s">
        <v>13</v>
      </c>
      <c r="B9" s="297" t="s">
        <v>14</v>
      </c>
      <c r="C9" s="297" t="s">
        <v>15</v>
      </c>
      <c r="D9" s="297" t="s">
        <v>16</v>
      </c>
      <c r="E9" s="297" t="s">
        <v>16</v>
      </c>
      <c r="F9" s="297" t="s">
        <v>16</v>
      </c>
      <c r="G9" s="297" t="s">
        <v>16</v>
      </c>
      <c r="H9" s="297" t="s">
        <v>16</v>
      </c>
      <c r="I9" s="297" t="s">
        <v>17</v>
      </c>
      <c r="J9" s="297" t="s">
        <v>17</v>
      </c>
      <c r="K9" s="297" t="s">
        <v>17</v>
      </c>
      <c r="L9" s="297" t="s">
        <v>17</v>
      </c>
      <c r="M9" s="425"/>
      <c r="Q9" s="324" t="s">
        <v>358</v>
      </c>
      <c r="S9" s="460">
        <v>182795.33</v>
      </c>
      <c r="U9" s="460">
        <v>288911</v>
      </c>
    </row>
    <row r="10" spans="1:31">
      <c r="A10" s="219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426"/>
      <c r="Q10" s="324" t="s">
        <v>359</v>
      </c>
      <c r="S10" s="324" t="s">
        <v>359</v>
      </c>
      <c r="U10" s="324" t="s">
        <v>359</v>
      </c>
    </row>
    <row r="11" spans="1:31" ht="73.95" customHeight="1">
      <c r="A11" s="445" t="s">
        <v>157</v>
      </c>
      <c r="B11" s="446" t="s">
        <v>353</v>
      </c>
      <c r="C11" s="297" t="s">
        <v>177</v>
      </c>
      <c r="D11" s="447">
        <v>21600</v>
      </c>
      <c r="E11" s="447"/>
      <c r="F11" s="447"/>
      <c r="G11" s="447">
        <v>21600</v>
      </c>
      <c r="H11" s="447">
        <v>21600</v>
      </c>
      <c r="I11" s="444">
        <f>J11/D11</f>
        <v>220.83825601851854</v>
      </c>
      <c r="J11" s="444">
        <f>4298400+182795.33+288911</f>
        <v>4770106.33</v>
      </c>
      <c r="K11" s="444">
        <f>(G11*T11)+$W$35</f>
        <v>5871599.9967133338</v>
      </c>
      <c r="L11" s="444">
        <f>H11*T11+$W$35</f>
        <v>5871599.9967133338</v>
      </c>
      <c r="M11" s="431"/>
      <c r="N11" s="192"/>
      <c r="O11" s="192"/>
      <c r="P11" s="332">
        <v>199</v>
      </c>
      <c r="Q11" s="325">
        <v>4298400</v>
      </c>
      <c r="R11" s="332">
        <f>S11/D11</f>
        <v>207.46274675925926</v>
      </c>
      <c r="S11" s="325">
        <f>Q11+$S$9</f>
        <v>4481195.33</v>
      </c>
      <c r="T11" s="332">
        <f>U11/D11</f>
        <v>220.83825601851854</v>
      </c>
      <c r="U11" s="325">
        <f>S11+$U$9</f>
        <v>4770106.33</v>
      </c>
      <c r="V11" s="325"/>
    </row>
    <row r="12" spans="1:31" ht="63" customHeight="1">
      <c r="A12" s="445" t="s">
        <v>157</v>
      </c>
      <c r="B12" s="446" t="s">
        <v>242</v>
      </c>
      <c r="C12" s="297" t="s">
        <v>177</v>
      </c>
      <c r="D12" s="447">
        <v>15696</v>
      </c>
      <c r="E12" s="447">
        <v>13582</v>
      </c>
      <c r="F12" s="447">
        <v>13582</v>
      </c>
      <c r="G12" s="447">
        <f>D12</f>
        <v>15696</v>
      </c>
      <c r="H12" s="447">
        <f>G12</f>
        <v>15696</v>
      </c>
      <c r="I12" s="444">
        <f>J12/D12</f>
        <v>228.6278497706422</v>
      </c>
      <c r="J12" s="444">
        <f>3116836.4+182795.33+288911</f>
        <v>3588542.73</v>
      </c>
      <c r="K12" s="444">
        <f>(G12*T12)+$W$35</f>
        <v>4690036.3967133332</v>
      </c>
      <c r="L12" s="444">
        <f t="shared" ref="L12:L16" si="0">H12*T12+$W$35</f>
        <v>4690036.3967133332</v>
      </c>
      <c r="M12" s="427"/>
      <c r="N12" s="192"/>
      <c r="O12" s="192"/>
      <c r="P12" s="332">
        <v>198.58</v>
      </c>
      <c r="Q12" s="325">
        <v>3116836.4</v>
      </c>
      <c r="R12" s="332">
        <f>S12/D12</f>
        <v>210.22118565239552</v>
      </c>
      <c r="S12" s="325">
        <f>Q12+$S$9</f>
        <v>3299631.73</v>
      </c>
      <c r="T12" s="332">
        <f t="shared" ref="T12:T16" si="1">U12/D12</f>
        <v>228.6278497706422</v>
      </c>
      <c r="U12" s="325">
        <f t="shared" ref="U12:U16" si="2">S12+$U$9</f>
        <v>3588542.73</v>
      </c>
      <c r="V12" s="325"/>
    </row>
    <row r="13" spans="1:31" ht="71.400000000000006" customHeight="1">
      <c r="A13" s="445" t="s">
        <v>157</v>
      </c>
      <c r="B13" s="446" t="s">
        <v>293</v>
      </c>
      <c r="C13" s="297" t="s">
        <v>177</v>
      </c>
      <c r="D13" s="447">
        <v>7200</v>
      </c>
      <c r="E13" s="447"/>
      <c r="F13" s="447"/>
      <c r="G13" s="447">
        <v>7200</v>
      </c>
      <c r="H13" s="447">
        <v>7200</v>
      </c>
      <c r="I13" s="444">
        <f>J13/D13</f>
        <v>264.71476805555557</v>
      </c>
      <c r="J13" s="444">
        <f>1434240+182795.33+288911</f>
        <v>1905946.33</v>
      </c>
      <c r="K13" s="444">
        <f>(G13*T13)+$W$35</f>
        <v>3007439.9967133338</v>
      </c>
      <c r="L13" s="444">
        <f t="shared" si="0"/>
        <v>3007439.9967133338</v>
      </c>
      <c r="M13" s="427"/>
      <c r="N13" s="192"/>
      <c r="O13" s="192"/>
      <c r="P13" s="332">
        <v>199.2</v>
      </c>
      <c r="Q13" s="325">
        <v>1434240</v>
      </c>
      <c r="R13" s="332">
        <f>S13/D13</f>
        <v>224.5882402777778</v>
      </c>
      <c r="S13" s="325">
        <f>Q13+$S$9</f>
        <v>1617035.33</v>
      </c>
      <c r="T13" s="332">
        <f t="shared" si="1"/>
        <v>264.71476805555557</v>
      </c>
      <c r="U13" s="325">
        <f t="shared" si="2"/>
        <v>1905946.33</v>
      </c>
      <c r="V13" s="325"/>
    </row>
    <row r="14" spans="1:31" ht="62.4" customHeight="1">
      <c r="A14" s="445" t="s">
        <v>157</v>
      </c>
      <c r="B14" s="446" t="s">
        <v>243</v>
      </c>
      <c r="C14" s="297" t="s">
        <v>177</v>
      </c>
      <c r="D14" s="447">
        <v>12240</v>
      </c>
      <c r="E14" s="447">
        <v>13271</v>
      </c>
      <c r="F14" s="447">
        <v>13271</v>
      </c>
      <c r="G14" s="447">
        <f>D14</f>
        <v>12240</v>
      </c>
      <c r="H14" s="447">
        <f>G14</f>
        <v>12240</v>
      </c>
      <c r="I14" s="444">
        <f>J14/D14</f>
        <v>237.26809885620918</v>
      </c>
      <c r="J14" s="444">
        <f>2432455.2+182795.33+288911</f>
        <v>2904161.5300000003</v>
      </c>
      <c r="K14" s="444">
        <f>(G14*T14)+$W$35</f>
        <v>4005655.1967133339</v>
      </c>
      <c r="L14" s="444">
        <f t="shared" si="0"/>
        <v>4005655.1967133339</v>
      </c>
      <c r="M14" s="427"/>
      <c r="N14" s="192"/>
      <c r="O14" s="192"/>
      <c r="P14" s="332">
        <v>198.73</v>
      </c>
      <c r="Q14" s="325">
        <v>2432455.2000000002</v>
      </c>
      <c r="R14" s="332">
        <f>S14/D14</f>
        <v>213.66425898692813</v>
      </c>
      <c r="S14" s="325">
        <f>Q14+$S$9</f>
        <v>2615250.5300000003</v>
      </c>
      <c r="T14" s="332">
        <f t="shared" si="1"/>
        <v>237.26809885620918</v>
      </c>
      <c r="U14" s="325">
        <f t="shared" si="2"/>
        <v>2904161.5300000003</v>
      </c>
      <c r="V14" s="325"/>
    </row>
    <row r="15" spans="1:31" ht="76.2" customHeight="1">
      <c r="A15" s="445" t="s">
        <v>157</v>
      </c>
      <c r="B15" s="446" t="s">
        <v>244</v>
      </c>
      <c r="C15" s="297" t="s">
        <v>177</v>
      </c>
      <c r="D15" s="447">
        <v>38916</v>
      </c>
      <c r="E15" s="447">
        <v>49974</v>
      </c>
      <c r="F15" s="447">
        <v>49974</v>
      </c>
      <c r="G15" s="447">
        <f>D15</f>
        <v>38916</v>
      </c>
      <c r="H15" s="447">
        <f>G15</f>
        <v>38916</v>
      </c>
      <c r="I15" s="444">
        <f>J15/D15</f>
        <v>211.92114117586596</v>
      </c>
      <c r="J15" s="444">
        <f>7775416.8+182795.33+288911</f>
        <v>8247123.1299999999</v>
      </c>
      <c r="K15" s="444">
        <f>(G15*T15)+$W$35</f>
        <v>9348616.7967133336</v>
      </c>
      <c r="L15" s="444">
        <f t="shared" si="0"/>
        <v>9348616.7967133336</v>
      </c>
      <c r="M15" s="427"/>
      <c r="N15" s="192"/>
      <c r="O15" s="192"/>
      <c r="P15" s="332">
        <v>199.8</v>
      </c>
      <c r="Q15" s="325">
        <v>7775416.7999999998</v>
      </c>
      <c r="R15" s="332">
        <f>S15/D15</f>
        <v>204.49717673964435</v>
      </c>
      <c r="S15" s="325">
        <f>Q15+$S$9</f>
        <v>7958212.1299999999</v>
      </c>
      <c r="T15" s="332">
        <f t="shared" si="1"/>
        <v>211.92114117586596</v>
      </c>
      <c r="U15" s="325">
        <f t="shared" si="2"/>
        <v>8247123.1299999999</v>
      </c>
      <c r="V15" s="325"/>
      <c r="AA15" s="324" t="s">
        <v>365</v>
      </c>
      <c r="AD15" s="324" t="s">
        <v>365</v>
      </c>
    </row>
    <row r="16" spans="1:31" ht="89.4" customHeight="1">
      <c r="A16" s="446" t="s">
        <v>157</v>
      </c>
      <c r="B16" s="446" t="s">
        <v>241</v>
      </c>
      <c r="C16" s="297" t="s">
        <v>177</v>
      </c>
      <c r="D16" s="447">
        <v>18540</v>
      </c>
      <c r="E16" s="447">
        <v>39042</v>
      </c>
      <c r="F16" s="447">
        <v>39042</v>
      </c>
      <c r="G16" s="447">
        <f>D16</f>
        <v>18540</v>
      </c>
      <c r="H16" s="447">
        <f>G16</f>
        <v>18540</v>
      </c>
      <c r="I16" s="444">
        <f>J16/D16</f>
        <v>218.80262944983818</v>
      </c>
      <c r="J16" s="444">
        <f>3584894.4+182795.35+288911</f>
        <v>4056600.75</v>
      </c>
      <c r="K16" s="444">
        <f>(G16*T16)+$W$35</f>
        <v>5158094.3967133332</v>
      </c>
      <c r="L16" s="444">
        <f t="shared" si="0"/>
        <v>5158094.3967133332</v>
      </c>
      <c r="M16" s="427"/>
      <c r="N16" s="205"/>
      <c r="O16" s="192"/>
      <c r="P16" s="332">
        <v>193.36</v>
      </c>
      <c r="Q16" s="325">
        <v>3584894.4</v>
      </c>
      <c r="R16" s="332">
        <f>S16/D16</f>
        <v>203.21951078748651</v>
      </c>
      <c r="S16" s="325">
        <f>Q16+$S$9</f>
        <v>3767689.73</v>
      </c>
      <c r="T16" s="332">
        <f t="shared" si="1"/>
        <v>218.80262837108953</v>
      </c>
      <c r="U16" s="325">
        <f t="shared" si="2"/>
        <v>4056600.73</v>
      </c>
      <c r="V16" s="325"/>
      <c r="Y16" s="420" t="s">
        <v>364</v>
      </c>
      <c r="Z16" s="411" t="s">
        <v>362</v>
      </c>
      <c r="AA16" s="439">
        <f>D11+D12+D13+D14+D15+D16</f>
        <v>114192</v>
      </c>
      <c r="AB16" s="412">
        <f>AB17/AA16</f>
        <v>6.1007562701415372</v>
      </c>
      <c r="AC16" s="413" t="s">
        <v>363</v>
      </c>
      <c r="AD16" s="413">
        <f>D11+D12+D13+D14+D15+D16</f>
        <v>114192</v>
      </c>
      <c r="AE16" s="414">
        <f>AE17/AD16</f>
        <v>15.180275325767129</v>
      </c>
    </row>
    <row r="17" spans="1:32" ht="31.95" customHeight="1">
      <c r="A17" s="464" t="s">
        <v>249</v>
      </c>
      <c r="B17" s="465" t="s">
        <v>235</v>
      </c>
      <c r="C17" s="297"/>
      <c r="D17" s="471">
        <f>SUM(D11:D16)</f>
        <v>114192</v>
      </c>
      <c r="E17" s="471">
        <f>SUM(E11:E16)</f>
        <v>115869</v>
      </c>
      <c r="F17" s="471">
        <f>SUM(F11:F16)</f>
        <v>115869</v>
      </c>
      <c r="G17" s="471">
        <f>SUM(G11:G16)</f>
        <v>114192</v>
      </c>
      <c r="H17" s="471">
        <f>SUM(H11:H16)</f>
        <v>114192</v>
      </c>
      <c r="I17" s="448">
        <f>AVERAGE(I11:I16)+0.00037</f>
        <v>230.36249388777162</v>
      </c>
      <c r="J17" s="448">
        <f>SUM(J11:J16)</f>
        <v>25472480.800000001</v>
      </c>
      <c r="K17" s="448">
        <f>SUM(K11:K16)+0.02</f>
        <v>32081442.800280001</v>
      </c>
      <c r="L17" s="448">
        <f>SUM(L11:L16)+0.02</f>
        <v>32081442.800280001</v>
      </c>
      <c r="M17" s="432"/>
      <c r="N17" s="192"/>
      <c r="O17" s="322"/>
      <c r="Q17" s="331">
        <f>SUM(Q11:Q16)</f>
        <v>22642242.800000001</v>
      </c>
      <c r="R17" s="327">
        <f>1388260+5445800+21848112</f>
        <v>28682172</v>
      </c>
      <c r="S17" s="333">
        <f>SUM(S11:S16)+0.02</f>
        <v>23739014.800000001</v>
      </c>
      <c r="T17" s="329"/>
      <c r="U17" s="462">
        <f>SUM(U11:U16)+0.02</f>
        <v>25472480.800000001</v>
      </c>
      <c r="V17" s="328"/>
      <c r="X17" s="433" t="s">
        <v>366</v>
      </c>
      <c r="Y17" s="421">
        <v>36875264.799999997</v>
      </c>
      <c r="Z17" s="418">
        <v>37571922.359999999</v>
      </c>
      <c r="AA17" s="419">
        <f>Z17/Y17</f>
        <v>1.018892272741049</v>
      </c>
      <c r="AB17" s="418">
        <f>Z17-Y17</f>
        <v>696657.56000000238</v>
      </c>
      <c r="AC17" s="415">
        <v>39305388.359999999</v>
      </c>
      <c r="AD17" s="416">
        <f>AC17/Z17</f>
        <v>1.0461372719604438</v>
      </c>
      <c r="AE17" s="417">
        <f>AC17-Z17</f>
        <v>1733466</v>
      </c>
    </row>
    <row r="18" spans="1:32" ht="95.4" customHeight="1">
      <c r="A18" s="445" t="s">
        <v>157</v>
      </c>
      <c r="B18" s="446" t="s">
        <v>357</v>
      </c>
      <c r="C18" s="297" t="s">
        <v>177</v>
      </c>
      <c r="D18" s="297">
        <v>15120</v>
      </c>
      <c r="E18" s="297"/>
      <c r="F18" s="297"/>
      <c r="G18" s="297">
        <v>0</v>
      </c>
      <c r="H18" s="297">
        <f t="shared" ref="H18:H23" si="3">G18</f>
        <v>0</v>
      </c>
      <c r="I18" s="444">
        <f>112.98-4.864022</f>
        <v>108.115978</v>
      </c>
      <c r="J18" s="444">
        <f>D18*I18+0.01</f>
        <v>1634713.59736</v>
      </c>
      <c r="K18" s="444">
        <f>G18*I18</f>
        <v>0</v>
      </c>
      <c r="L18" s="444">
        <f>H18*I18</f>
        <v>0</v>
      </c>
      <c r="M18" s="427"/>
      <c r="N18" s="192"/>
      <c r="O18" s="192"/>
      <c r="P18" s="325">
        <v>112.98</v>
      </c>
      <c r="Q18" s="327">
        <f>P18*D18</f>
        <v>1708257.6</v>
      </c>
      <c r="R18" s="330"/>
      <c r="S18" s="457" t="s">
        <v>360</v>
      </c>
      <c r="U18" s="332">
        <f>U34</f>
        <v>25472480.79972</v>
      </c>
      <c r="X18" s="433" t="s">
        <v>367</v>
      </c>
      <c r="Y18" s="438">
        <v>22132020.66</v>
      </c>
      <c r="Z18" s="436">
        <v>23739014.800000001</v>
      </c>
      <c r="AA18" s="437">
        <f>Z18/Y18</f>
        <v>1.0726094632156375</v>
      </c>
      <c r="AB18" s="436">
        <f>Z18-Y18</f>
        <v>1606994.1400000006</v>
      </c>
      <c r="AC18" s="435">
        <v>23992138</v>
      </c>
      <c r="AD18" s="442">
        <f>AC18/Z18</f>
        <v>1.0106627508400221</v>
      </c>
      <c r="AE18" s="435">
        <f>AC18-Z18</f>
        <v>253123.19999999925</v>
      </c>
      <c r="AF18" s="456">
        <f>AE18/6</f>
        <v>42187.199999999873</v>
      </c>
    </row>
    <row r="19" spans="1:32" ht="93" customHeight="1">
      <c r="A19" s="445" t="s">
        <v>157</v>
      </c>
      <c r="B19" s="446" t="s">
        <v>326</v>
      </c>
      <c r="C19" s="297" t="s">
        <v>177</v>
      </c>
      <c r="D19" s="297">
        <v>8208</v>
      </c>
      <c r="E19" s="297"/>
      <c r="F19" s="297"/>
      <c r="G19" s="297">
        <v>0</v>
      </c>
      <c r="H19" s="297">
        <f t="shared" si="3"/>
        <v>0</v>
      </c>
      <c r="I19" s="444">
        <f>105.5+7.38-4.864022</f>
        <v>108.01597799999999</v>
      </c>
      <c r="J19" s="444">
        <f t="shared" ref="J19:J23" si="4">D19*I19</f>
        <v>886595.14742399997</v>
      </c>
      <c r="K19" s="444">
        <f t="shared" ref="K19:K23" si="5">G19*I19</f>
        <v>0</v>
      </c>
      <c r="L19" s="444">
        <f t="shared" ref="L19:L23" si="6">H19*I19</f>
        <v>0</v>
      </c>
      <c r="M19" s="427"/>
      <c r="N19" s="192"/>
      <c r="O19" s="192"/>
      <c r="P19" s="325">
        <f>105.5+7.38</f>
        <v>112.88</v>
      </c>
      <c r="Q19" s="327">
        <f>P19*D19</f>
        <v>926519.03999999992</v>
      </c>
      <c r="R19" s="326"/>
      <c r="S19" s="458">
        <f>1388260+5445800+21848112</f>
        <v>28682172</v>
      </c>
      <c r="U19" s="461">
        <f>(U18-S17)/6</f>
        <v>288910.99995333329</v>
      </c>
      <c r="X19" s="327"/>
      <c r="Y19" s="327"/>
      <c r="Z19" s="434"/>
      <c r="AA19" s="434"/>
      <c r="AB19" s="441">
        <f>AB18/AA16</f>
        <v>14.072738370463785</v>
      </c>
      <c r="AC19" s="440"/>
      <c r="AD19" s="435"/>
      <c r="AE19" s="443">
        <f>AE18/AD16</f>
        <v>2.216645649432528</v>
      </c>
      <c r="AF19" s="327"/>
    </row>
    <row r="20" spans="1:32" ht="106.2" customHeight="1">
      <c r="A20" s="445" t="s">
        <v>157</v>
      </c>
      <c r="B20" s="446" t="s">
        <v>327</v>
      </c>
      <c r="C20" s="297" t="s">
        <v>177</v>
      </c>
      <c r="D20" s="297">
        <v>3240</v>
      </c>
      <c r="E20" s="297"/>
      <c r="F20" s="297"/>
      <c r="G20" s="297">
        <v>0</v>
      </c>
      <c r="H20" s="297">
        <f t="shared" si="3"/>
        <v>0</v>
      </c>
      <c r="I20" s="444">
        <f>104.06+8.87-4.864022</f>
        <v>108.065978</v>
      </c>
      <c r="J20" s="444">
        <f>D20*I20-10.44</f>
        <v>350123.32871999999</v>
      </c>
      <c r="K20" s="444">
        <f t="shared" si="5"/>
        <v>0</v>
      </c>
      <c r="L20" s="444">
        <f t="shared" si="6"/>
        <v>0</v>
      </c>
      <c r="M20" s="427"/>
      <c r="N20" s="192"/>
      <c r="O20" s="192"/>
      <c r="P20" s="325">
        <f>104.06+8.87</f>
        <v>112.93</v>
      </c>
      <c r="Q20" s="327">
        <f>P20*D20-10.44</f>
        <v>365882.76</v>
      </c>
      <c r="R20" s="326"/>
      <c r="S20" s="459">
        <f>(S17-Q17)/6</f>
        <v>182795.33333333334</v>
      </c>
      <c r="X20" s="327"/>
      <c r="Y20" s="327"/>
      <c r="Z20" s="327"/>
      <c r="AA20" s="327"/>
      <c r="AB20" s="327"/>
      <c r="AC20" s="327"/>
      <c r="AD20" s="327"/>
      <c r="AE20" s="327"/>
      <c r="AF20" s="327"/>
    </row>
    <row r="21" spans="1:32" ht="89.4" customHeight="1">
      <c r="A21" s="445" t="s">
        <v>157</v>
      </c>
      <c r="B21" s="446" t="s">
        <v>328</v>
      </c>
      <c r="C21" s="297" t="s">
        <v>177</v>
      </c>
      <c r="D21" s="297">
        <v>19440</v>
      </c>
      <c r="E21" s="297"/>
      <c r="F21" s="297"/>
      <c r="G21" s="297">
        <v>0</v>
      </c>
      <c r="H21" s="297">
        <f t="shared" si="3"/>
        <v>0</v>
      </c>
      <c r="I21" s="444">
        <f>105.05+7.93-4.864022</f>
        <v>108.11597799999998</v>
      </c>
      <c r="J21" s="444">
        <f t="shared" si="4"/>
        <v>2101774.6123199998</v>
      </c>
      <c r="K21" s="444">
        <f t="shared" si="5"/>
        <v>0</v>
      </c>
      <c r="L21" s="444">
        <f t="shared" si="6"/>
        <v>0</v>
      </c>
      <c r="M21" s="427"/>
      <c r="N21" s="192"/>
      <c r="O21" s="192"/>
      <c r="P21" s="325">
        <f>105.05+7.93</f>
        <v>112.97999999999999</v>
      </c>
      <c r="Q21" s="327">
        <f>P21*D21</f>
        <v>2196331.1999999997</v>
      </c>
      <c r="R21" s="326"/>
    </row>
    <row r="22" spans="1:32" ht="103.2" customHeight="1">
      <c r="A22" s="445" t="s">
        <v>157</v>
      </c>
      <c r="B22" s="446" t="s">
        <v>330</v>
      </c>
      <c r="C22" s="297" t="s">
        <v>177</v>
      </c>
      <c r="D22" s="297">
        <v>18360</v>
      </c>
      <c r="E22" s="297"/>
      <c r="F22" s="297"/>
      <c r="G22" s="297">
        <v>0</v>
      </c>
      <c r="H22" s="297">
        <f t="shared" si="3"/>
        <v>0</v>
      </c>
      <c r="I22" s="444">
        <f>105.55+7.4-4.864022</f>
        <v>108.085978</v>
      </c>
      <c r="J22" s="444">
        <f t="shared" si="4"/>
        <v>1984458.55608</v>
      </c>
      <c r="K22" s="444">
        <f t="shared" si="5"/>
        <v>0</v>
      </c>
      <c r="L22" s="444">
        <f t="shared" si="6"/>
        <v>0</v>
      </c>
      <c r="M22" s="427"/>
      <c r="N22" s="192"/>
      <c r="O22" s="192"/>
      <c r="P22" s="325">
        <f>105.55+7.4</f>
        <v>112.95</v>
      </c>
      <c r="Q22" s="327">
        <f>P22*D22</f>
        <v>2073762</v>
      </c>
      <c r="R22" s="326"/>
    </row>
    <row r="23" spans="1:32" ht="115.95" customHeight="1">
      <c r="A23" s="446" t="s">
        <v>157</v>
      </c>
      <c r="B23" s="446" t="s">
        <v>329</v>
      </c>
      <c r="C23" s="297" t="s">
        <v>177</v>
      </c>
      <c r="D23" s="297">
        <v>17892</v>
      </c>
      <c r="E23" s="297"/>
      <c r="F23" s="297"/>
      <c r="G23" s="297">
        <v>0</v>
      </c>
      <c r="H23" s="297">
        <f t="shared" si="3"/>
        <v>0</v>
      </c>
      <c r="I23" s="444">
        <f>103+9.85-4.864022</f>
        <v>107.98597799999999</v>
      </c>
      <c r="J23" s="444">
        <f t="shared" si="4"/>
        <v>1932085.1183759999</v>
      </c>
      <c r="K23" s="444">
        <f t="shared" si="5"/>
        <v>0</v>
      </c>
      <c r="L23" s="444">
        <f t="shared" si="6"/>
        <v>0</v>
      </c>
      <c r="M23" s="427"/>
      <c r="N23" s="192"/>
      <c r="O23" s="192"/>
      <c r="P23" s="325">
        <f>103+9.85</f>
        <v>112.85</v>
      </c>
      <c r="Q23" s="327">
        <f>P23*D23</f>
        <v>2019112.2</v>
      </c>
      <c r="R23" s="194"/>
    </row>
    <row r="24" spans="1:32" ht="25.2" customHeight="1">
      <c r="A24" s="464" t="s">
        <v>249</v>
      </c>
      <c r="B24" s="465" t="s">
        <v>331</v>
      </c>
      <c r="C24" s="297"/>
      <c r="D24" s="338">
        <f>SUM(D18:D23)</f>
        <v>82260</v>
      </c>
      <c r="E24" s="338">
        <f t="shared" ref="E24:L24" si="7">SUM(E18:E23)</f>
        <v>0</v>
      </c>
      <c r="F24" s="338">
        <f t="shared" si="7"/>
        <v>0</v>
      </c>
      <c r="G24" s="338">
        <f t="shared" si="7"/>
        <v>0</v>
      </c>
      <c r="H24" s="338">
        <f t="shared" si="7"/>
        <v>0</v>
      </c>
      <c r="I24" s="448">
        <f>AVERAGE(I18:I23)</f>
        <v>108.06431133333335</v>
      </c>
      <c r="J24" s="448">
        <f t="shared" si="7"/>
        <v>8889750.3602799997</v>
      </c>
      <c r="K24" s="448">
        <f t="shared" si="7"/>
        <v>0</v>
      </c>
      <c r="L24" s="448">
        <f t="shared" si="7"/>
        <v>0</v>
      </c>
      <c r="M24" s="428"/>
      <c r="N24" s="192"/>
      <c r="O24" s="322">
        <f>9289864.8-8889750.36</f>
        <v>400114.44000000134</v>
      </c>
      <c r="P24" s="323">
        <f>O24/D24</f>
        <v>4.8640218818380907</v>
      </c>
      <c r="Q24" s="332">
        <f>SUM(Q18:Q23)</f>
        <v>9289864.7999999989</v>
      </c>
      <c r="R24" s="333">
        <v>8889750.3599999994</v>
      </c>
      <c r="X24" s="422"/>
    </row>
    <row r="25" spans="1:32" ht="43.2" customHeight="1">
      <c r="A25" s="449" t="s">
        <v>157</v>
      </c>
      <c r="B25" s="446" t="s">
        <v>248</v>
      </c>
      <c r="C25" s="297" t="s">
        <v>234</v>
      </c>
      <c r="D25" s="297">
        <v>1</v>
      </c>
      <c r="E25" s="297">
        <v>1</v>
      </c>
      <c r="F25" s="297">
        <v>1</v>
      </c>
      <c r="G25" s="297">
        <v>1</v>
      </c>
      <c r="H25" s="297">
        <v>1</v>
      </c>
      <c r="I25" s="444">
        <v>116293.62</v>
      </c>
      <c r="J25" s="444">
        <f>D25*I25</f>
        <v>116293.62</v>
      </c>
      <c r="K25" s="444">
        <v>116293.62</v>
      </c>
      <c r="L25" s="444">
        <f t="shared" ref="L25" si="8">K25</f>
        <v>116293.62</v>
      </c>
      <c r="M25" s="427"/>
      <c r="N25" s="192"/>
      <c r="X25" s="422"/>
    </row>
    <row r="26" spans="1:32" ht="45.6" customHeight="1">
      <c r="A26" s="450"/>
      <c r="B26" s="446" t="s">
        <v>245</v>
      </c>
      <c r="C26" s="297" t="s">
        <v>234</v>
      </c>
      <c r="D26" s="297">
        <v>2</v>
      </c>
      <c r="E26" s="297">
        <v>2</v>
      </c>
      <c r="F26" s="297">
        <v>2</v>
      </c>
      <c r="G26" s="297">
        <v>2</v>
      </c>
      <c r="H26" s="297">
        <v>2</v>
      </c>
      <c r="I26" s="444">
        <v>2413431.79</v>
      </c>
      <c r="J26" s="444">
        <f>D26*I26</f>
        <v>4826863.58</v>
      </c>
      <c r="K26" s="444">
        <f>J26</f>
        <v>4826863.58</v>
      </c>
      <c r="L26" s="444">
        <f>K26</f>
        <v>4826863.58</v>
      </c>
      <c r="M26" s="427"/>
      <c r="N26" s="192"/>
    </row>
    <row r="27" spans="1:32" ht="28.5" customHeight="1">
      <c r="A27" s="464" t="s">
        <v>250</v>
      </c>
      <c r="B27" s="465" t="s">
        <v>236</v>
      </c>
      <c r="C27" s="297"/>
      <c r="D27" s="451">
        <f>SUM(D25:D26)</f>
        <v>3</v>
      </c>
      <c r="E27" s="451">
        <f>SUM(E25:E26)</f>
        <v>3</v>
      </c>
      <c r="F27" s="451">
        <f>SUM(F25:F26)</f>
        <v>3</v>
      </c>
      <c r="G27" s="451">
        <f>SUM(G25:G26)</f>
        <v>3</v>
      </c>
      <c r="H27" s="451">
        <f>SUM(H25:H26)</f>
        <v>3</v>
      </c>
      <c r="I27" s="444">
        <f>I25+I26</f>
        <v>2529725.41</v>
      </c>
      <c r="J27" s="448">
        <f>SUM(J25:J26)</f>
        <v>4943157.2</v>
      </c>
      <c r="K27" s="448">
        <f>SUM(K25:K26)</f>
        <v>4943157.2</v>
      </c>
      <c r="L27" s="448">
        <f>SUM(L25:L26)</f>
        <v>4943157.2</v>
      </c>
      <c r="M27" s="428"/>
      <c r="N27" s="192"/>
      <c r="Q27" s="324"/>
      <c r="R27" s="324"/>
      <c r="S27" s="324"/>
      <c r="T27" s="324"/>
      <c r="U27" s="324" t="s">
        <v>374</v>
      </c>
      <c r="V27" s="324" t="s">
        <v>375</v>
      </c>
    </row>
    <row r="28" spans="1:32" ht="22.95" hidden="1" customHeight="1">
      <c r="A28" s="445" t="s">
        <v>157</v>
      </c>
      <c r="B28" s="446" t="s">
        <v>286</v>
      </c>
      <c r="C28" s="446" t="s">
        <v>20</v>
      </c>
      <c r="D28" s="446">
        <f>28+6</f>
        <v>34</v>
      </c>
      <c r="E28" s="446">
        <f>28+6</f>
        <v>34</v>
      </c>
      <c r="F28" s="446">
        <f>28+6</f>
        <v>34</v>
      </c>
      <c r="G28" s="446">
        <f>28+6</f>
        <v>34</v>
      </c>
      <c r="H28" s="446">
        <f>28+6</f>
        <v>34</v>
      </c>
      <c r="I28" s="452"/>
      <c r="J28" s="452"/>
      <c r="K28" s="453"/>
      <c r="L28" s="453"/>
      <c r="M28" s="429"/>
    </row>
    <row r="29" spans="1:32" ht="22.95" hidden="1" customHeight="1">
      <c r="A29" s="445"/>
      <c r="B29" s="446" t="s">
        <v>292</v>
      </c>
      <c r="C29" s="446" t="s">
        <v>20</v>
      </c>
      <c r="D29" s="446"/>
      <c r="E29" s="446"/>
      <c r="F29" s="446"/>
      <c r="G29" s="446"/>
      <c r="H29" s="446"/>
      <c r="I29" s="452"/>
      <c r="J29" s="454"/>
      <c r="K29" s="453"/>
      <c r="L29" s="453"/>
      <c r="M29" s="429"/>
    </row>
    <row r="30" spans="1:32" ht="18" hidden="1" customHeight="1">
      <c r="A30" s="445"/>
      <c r="B30" s="446" t="s">
        <v>285</v>
      </c>
      <c r="C30" s="446" t="s">
        <v>20</v>
      </c>
      <c r="D30" s="446">
        <f>21+11</f>
        <v>32</v>
      </c>
      <c r="E30" s="446">
        <f t="shared" ref="E30:H31" si="9">21+11</f>
        <v>32</v>
      </c>
      <c r="F30" s="446">
        <f t="shared" si="9"/>
        <v>32</v>
      </c>
      <c r="G30" s="446">
        <f t="shared" si="9"/>
        <v>32</v>
      </c>
      <c r="H30" s="446">
        <f t="shared" si="9"/>
        <v>32</v>
      </c>
      <c r="I30" s="452"/>
      <c r="J30" s="452"/>
      <c r="K30" s="453"/>
      <c r="L30" s="453"/>
      <c r="M30" s="429"/>
    </row>
    <row r="31" spans="1:32" hidden="1">
      <c r="A31" s="446"/>
      <c r="B31" s="446" t="s">
        <v>229</v>
      </c>
      <c r="C31" s="446" t="s">
        <v>20</v>
      </c>
      <c r="D31" s="446">
        <f>21+11</f>
        <v>32</v>
      </c>
      <c r="E31" s="446">
        <f t="shared" si="9"/>
        <v>32</v>
      </c>
      <c r="F31" s="446">
        <f t="shared" si="9"/>
        <v>32</v>
      </c>
      <c r="G31" s="446">
        <f t="shared" si="9"/>
        <v>32</v>
      </c>
      <c r="H31" s="446">
        <f t="shared" si="9"/>
        <v>32</v>
      </c>
      <c r="I31" s="452"/>
      <c r="J31" s="452"/>
      <c r="K31" s="453">
        <f>J31</f>
        <v>0</v>
      </c>
      <c r="L31" s="453">
        <f>K31</f>
        <v>0</v>
      </c>
      <c r="M31" s="429"/>
    </row>
    <row r="32" spans="1:32" ht="23.4" customHeight="1">
      <c r="A32" s="466" t="s">
        <v>230</v>
      </c>
      <c r="B32" s="467"/>
      <c r="C32" s="468"/>
      <c r="D32" s="446"/>
      <c r="E32" s="446"/>
      <c r="F32" s="446"/>
      <c r="G32" s="446"/>
      <c r="H32" s="446"/>
      <c r="I32" s="452"/>
      <c r="J32" s="455">
        <f>J17+J24+J27</f>
        <v>39305388.360280007</v>
      </c>
      <c r="K32" s="455">
        <f t="shared" ref="K32:L32" si="10">K17+K24+K27</f>
        <v>37024600.00028</v>
      </c>
      <c r="L32" s="455">
        <f t="shared" si="10"/>
        <v>37024600.00028</v>
      </c>
      <c r="M32" s="430"/>
      <c r="N32" s="192"/>
      <c r="Q32" s="332">
        <v>37024596.810000002</v>
      </c>
      <c r="R32" s="325"/>
      <c r="S32" s="332">
        <v>37571922.359999999</v>
      </c>
      <c r="T32" s="325"/>
      <c r="U32" s="333">
        <v>39305388.359999999</v>
      </c>
      <c r="V32" s="469">
        <v>37024600</v>
      </c>
      <c r="W32" s="325"/>
      <c r="X32" s="325"/>
    </row>
    <row r="33" spans="1:23" ht="13.2" customHeight="1">
      <c r="J33" s="192"/>
    </row>
    <row r="34" spans="1:23">
      <c r="J34" s="187"/>
      <c r="K34" s="189"/>
      <c r="L34" s="189"/>
      <c r="M34" s="189"/>
      <c r="U34" s="463">
        <f>U32-J24-J27</f>
        <v>25472480.79972</v>
      </c>
      <c r="V34" s="463">
        <f>V32-K24-K27</f>
        <v>32081442.800000001</v>
      </c>
      <c r="W34" s="322">
        <f>V34-U34</f>
        <v>6608962.0002800003</v>
      </c>
    </row>
    <row r="35" spans="1:23">
      <c r="A35" s="182" t="s">
        <v>233</v>
      </c>
      <c r="J35" s="192"/>
      <c r="N35" s="192"/>
      <c r="U35" s="422"/>
      <c r="V35" s="322"/>
      <c r="W35" s="470">
        <f>W34/6</f>
        <v>1101493.6667133335</v>
      </c>
    </row>
    <row r="36" spans="1:23">
      <c r="A36" s="182" t="s">
        <v>178</v>
      </c>
      <c r="J36" s="192"/>
      <c r="K36" s="192"/>
      <c r="L36" s="192"/>
      <c r="M36" s="192"/>
      <c r="N36" s="192"/>
      <c r="U36" s="422"/>
    </row>
    <row r="37" spans="1:23">
      <c r="J37" s="192"/>
      <c r="K37" s="204"/>
    </row>
    <row r="38" spans="1:23">
      <c r="J38" s="192"/>
      <c r="K38" s="192"/>
      <c r="L38" s="192"/>
      <c r="M38" s="192"/>
    </row>
    <row r="39" spans="1:23">
      <c r="J39" s="192"/>
      <c r="K39" s="192"/>
      <c r="L39" s="192"/>
      <c r="M39" s="192"/>
    </row>
    <row r="40" spans="1:23">
      <c r="J40" s="192"/>
      <c r="K40" s="192"/>
      <c r="L40" s="192"/>
      <c r="M40" s="192"/>
    </row>
    <row r="41" spans="1:23">
      <c r="J41" s="192"/>
      <c r="K41" s="192"/>
      <c r="L41" s="192"/>
      <c r="M41" s="192"/>
    </row>
    <row r="42" spans="1:23">
      <c r="J42" s="187"/>
    </row>
    <row r="43" spans="1:23">
      <c r="J43" s="192"/>
      <c r="K43" s="192"/>
      <c r="L43" s="192"/>
      <c r="M43" s="192"/>
    </row>
    <row r="44" spans="1:23">
      <c r="J44" s="192"/>
      <c r="K44" s="192"/>
      <c r="L44" s="192"/>
      <c r="M44" s="192"/>
    </row>
    <row r="45" spans="1:23">
      <c r="J45" s="192"/>
      <c r="K45" s="192"/>
      <c r="L45" s="192"/>
      <c r="M45" s="192"/>
    </row>
    <row r="46" spans="1:23">
      <c r="J46" s="192"/>
      <c r="K46" s="192"/>
      <c r="L46" s="192"/>
      <c r="M46" s="192"/>
    </row>
    <row r="47" spans="1:23">
      <c r="J47" s="192"/>
      <c r="K47" s="192"/>
      <c r="L47" s="192"/>
      <c r="M47" s="192"/>
    </row>
    <row r="48" spans="1:23">
      <c r="J48" s="192"/>
      <c r="K48" s="192"/>
      <c r="L48" s="192"/>
      <c r="M48" s="192"/>
    </row>
    <row r="49" spans="9:13">
      <c r="J49" s="192"/>
      <c r="K49" s="192"/>
      <c r="L49" s="192"/>
      <c r="M49" s="192"/>
    </row>
    <row r="50" spans="9:13">
      <c r="J50" s="192"/>
      <c r="K50" s="192"/>
      <c r="L50" s="192"/>
      <c r="M50" s="192"/>
    </row>
    <row r="51" spans="9:13">
      <c r="J51" s="192"/>
      <c r="K51" s="192"/>
      <c r="L51" s="192"/>
      <c r="M51" s="192"/>
    </row>
    <row r="52" spans="9:13">
      <c r="J52" s="192"/>
      <c r="K52" s="192"/>
      <c r="L52" s="192"/>
      <c r="M52" s="192"/>
    </row>
    <row r="53" spans="9:13">
      <c r="J53" s="192"/>
      <c r="K53" s="192"/>
      <c r="L53" s="192"/>
      <c r="M53" s="192"/>
    </row>
    <row r="54" spans="9:13">
      <c r="J54" s="192"/>
      <c r="K54" s="192"/>
      <c r="L54" s="192"/>
      <c r="M54" s="192"/>
    </row>
    <row r="55" spans="9:13">
      <c r="J55" s="192"/>
      <c r="K55" s="192"/>
      <c r="L55" s="192"/>
      <c r="M55" s="192"/>
    </row>
    <row r="56" spans="9:13">
      <c r="J56" s="192"/>
      <c r="K56" s="192"/>
      <c r="L56" s="192"/>
      <c r="M56" s="192"/>
    </row>
    <row r="57" spans="9:13">
      <c r="J57" s="192"/>
      <c r="K57" s="192"/>
      <c r="L57" s="192"/>
      <c r="M57" s="192"/>
    </row>
    <row r="58" spans="9:13">
      <c r="J58" s="192"/>
      <c r="K58" s="192"/>
      <c r="L58" s="192"/>
      <c r="M58" s="192"/>
    </row>
    <row r="59" spans="9:13">
      <c r="J59" s="192"/>
      <c r="K59" s="192"/>
      <c r="L59" s="192"/>
      <c r="M59" s="192"/>
    </row>
    <row r="60" spans="9:13" hidden="1">
      <c r="J60" s="192"/>
      <c r="K60" s="192"/>
      <c r="L60" s="192"/>
      <c r="M60" s="192"/>
    </row>
    <row r="61" spans="9:13" s="189" customFormat="1" hidden="1">
      <c r="J61" s="187"/>
    </row>
    <row r="62" spans="9:13" s="189" customFormat="1" hidden="1">
      <c r="J62" s="187">
        <v>8088944</v>
      </c>
      <c r="K62" s="187">
        <v>6148700</v>
      </c>
      <c r="L62" s="187"/>
      <c r="M62" s="187"/>
    </row>
    <row r="63" spans="9:13" s="189" customFormat="1" hidden="1">
      <c r="J63" s="187">
        <f>J62/I70</f>
        <v>70.836345803558913</v>
      </c>
      <c r="K63" s="187">
        <f>K62/I70</f>
        <v>53.845278128065011</v>
      </c>
      <c r="L63" s="187"/>
      <c r="M63" s="187"/>
    </row>
    <row r="64" spans="9:13" s="189" customFormat="1" hidden="1">
      <c r="I64" s="189">
        <f t="shared" ref="I64:I69" si="11">D11</f>
        <v>21600</v>
      </c>
      <c r="J64" s="187">
        <f t="shared" ref="J64:J69" si="12">I64*$J$63</f>
        <v>1530065.0693568725</v>
      </c>
      <c r="K64" s="187">
        <f t="shared" ref="K64:K69" si="13">I64*$K$63</f>
        <v>1163058.0075662043</v>
      </c>
    </row>
    <row r="65" spans="9:11" s="189" customFormat="1" hidden="1">
      <c r="I65" s="189">
        <f t="shared" si="11"/>
        <v>15696</v>
      </c>
      <c r="J65" s="187">
        <f t="shared" si="12"/>
        <v>1111847.2837326608</v>
      </c>
      <c r="K65" s="187">
        <f t="shared" si="13"/>
        <v>845155.48549810844</v>
      </c>
    </row>
    <row r="66" spans="9:11" s="189" customFormat="1" hidden="1">
      <c r="I66" s="189">
        <f t="shared" si="11"/>
        <v>7200</v>
      </c>
      <c r="J66" s="187">
        <f t="shared" si="12"/>
        <v>510021.68978562416</v>
      </c>
      <c r="K66" s="187">
        <f t="shared" si="13"/>
        <v>387686.0025220681</v>
      </c>
    </row>
    <row r="67" spans="9:11" s="189" customFormat="1" hidden="1">
      <c r="I67" s="189">
        <f t="shared" si="11"/>
        <v>12240</v>
      </c>
      <c r="J67" s="187">
        <f t="shared" si="12"/>
        <v>867036.87263556104</v>
      </c>
      <c r="K67" s="187">
        <f t="shared" si="13"/>
        <v>659066.20428751572</v>
      </c>
    </row>
    <row r="68" spans="9:11" s="189" customFormat="1" hidden="1">
      <c r="I68" s="189">
        <f t="shared" si="11"/>
        <v>38916</v>
      </c>
      <c r="J68" s="187">
        <f t="shared" si="12"/>
        <v>2756667.2332912986</v>
      </c>
      <c r="K68" s="187">
        <f t="shared" si="13"/>
        <v>2095442.8436317779</v>
      </c>
    </row>
    <row r="69" spans="9:11" s="189" customFormat="1" hidden="1">
      <c r="I69" s="189">
        <f t="shared" si="11"/>
        <v>18540</v>
      </c>
      <c r="J69" s="187">
        <f t="shared" si="12"/>
        <v>1313305.8511979822</v>
      </c>
      <c r="K69" s="187">
        <f t="shared" si="13"/>
        <v>998291.45649432531</v>
      </c>
    </row>
    <row r="70" spans="9:11" s="189" customFormat="1" hidden="1">
      <c r="I70" s="189">
        <f>SUM(I64:I69)</f>
        <v>114192</v>
      </c>
      <c r="J70" s="187">
        <f>SUM(J64:J69)</f>
        <v>8088944</v>
      </c>
      <c r="K70" s="187">
        <f>SUM(K64:K69)</f>
        <v>6148700</v>
      </c>
    </row>
    <row r="71" spans="9:11" s="189" customFormat="1" hidden="1">
      <c r="J71" s="187"/>
    </row>
  </sheetData>
  <mergeCells count="15">
    <mergeCell ref="R7:R8"/>
    <mergeCell ref="S7:S8"/>
    <mergeCell ref="T7:T8"/>
    <mergeCell ref="U7:U8"/>
    <mergeCell ref="P7:P8"/>
    <mergeCell ref="Q7:Q8"/>
    <mergeCell ref="A5:L5"/>
    <mergeCell ref="D7:H7"/>
    <mergeCell ref="I7:I8"/>
    <mergeCell ref="J7:L7"/>
    <mergeCell ref="A32:C32"/>
    <mergeCell ref="B7:B8"/>
    <mergeCell ref="A7:A8"/>
    <mergeCell ref="C7:C8"/>
    <mergeCell ref="A25:A26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 </vt:lpstr>
      <vt:lpstr>ДОП ДДТ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Мисько</cp:lastModifiedBy>
  <cp:lastPrinted>2021-04-13T10:09:29Z</cp:lastPrinted>
  <dcterms:created xsi:type="dcterms:W3CDTF">2018-11-21T04:22:49Z</dcterms:created>
  <dcterms:modified xsi:type="dcterms:W3CDTF">2021-04-13T10:58:14Z</dcterms:modified>
</cp:coreProperties>
</file>