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95" yWindow="-75" windowWidth="15450" windowHeight="9315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45621"/>
</workbook>
</file>

<file path=xl/calcChain.xml><?xml version="1.0" encoding="utf-8"?>
<calcChain xmlns="http://schemas.openxmlformats.org/spreadsheetml/2006/main">
  <c r="N115" i="14" l="1"/>
  <c r="J107" i="14"/>
  <c r="N107" i="14" s="1"/>
  <c r="J106" i="14"/>
  <c r="N106" i="14" s="1"/>
  <c r="J105" i="14"/>
  <c r="N105" i="14" s="1"/>
  <c r="N100" i="14"/>
  <c r="N94" i="14"/>
  <c r="N90" i="14"/>
  <c r="J94" i="14"/>
  <c r="J93" i="14"/>
  <c r="N93" i="14" s="1"/>
  <c r="J92" i="14"/>
  <c r="N92" i="14" s="1"/>
  <c r="J91" i="14"/>
  <c r="N91" i="14" s="1"/>
  <c r="J90" i="14"/>
  <c r="J61" i="14"/>
  <c r="J60" i="14"/>
  <c r="J59" i="14"/>
  <c r="J30" i="14"/>
  <c r="J29" i="14"/>
  <c r="J26" i="14"/>
  <c r="N85" i="14"/>
  <c r="N84" i="14"/>
  <c r="N83" i="14"/>
  <c r="N82" i="14"/>
  <c r="N81" i="14"/>
  <c r="N80" i="14"/>
  <c r="N74" i="14"/>
  <c r="N73" i="14"/>
  <c r="N70" i="14"/>
  <c r="N69" i="14"/>
  <c r="N60" i="14"/>
  <c r="N59" i="14"/>
  <c r="N51" i="14"/>
  <c r="N50" i="14"/>
  <c r="N49" i="14"/>
  <c r="N39" i="14"/>
  <c r="N38" i="14"/>
  <c r="N30" i="14"/>
  <c r="N29" i="14"/>
  <c r="J28" i="14"/>
  <c r="J27" i="14"/>
  <c r="N26" i="14"/>
  <c r="N18" i="14"/>
  <c r="N17" i="14"/>
  <c r="N16" i="14"/>
  <c r="T23" i="11" l="1"/>
  <c r="T22" i="11"/>
  <c r="T21" i="11"/>
  <c r="U21" i="11" s="1"/>
  <c r="T20" i="11"/>
  <c r="U20" i="11" s="1"/>
  <c r="T19" i="11"/>
  <c r="U19" i="11"/>
  <c r="U22" i="11"/>
  <c r="U23" i="11"/>
  <c r="U18" i="11"/>
  <c r="J16" i="11"/>
  <c r="J15" i="11"/>
  <c r="J14" i="11"/>
  <c r="J13" i="11"/>
  <c r="J12" i="11"/>
  <c r="J11" i="11"/>
  <c r="L13" i="11"/>
  <c r="L11" i="11"/>
  <c r="K13" i="11"/>
  <c r="K11" i="11"/>
  <c r="I13" i="11"/>
  <c r="I14" i="11"/>
  <c r="I15" i="11"/>
  <c r="I16" i="11"/>
  <c r="I12" i="11"/>
  <c r="I18" i="11"/>
  <c r="I11" i="11"/>
  <c r="W9" i="11"/>
  <c r="U17" i="11"/>
  <c r="V17" i="11"/>
  <c r="I23" i="11"/>
  <c r="I19" i="11"/>
  <c r="I20" i="11"/>
  <c r="I21" i="11"/>
  <c r="I22" i="11"/>
  <c r="S24" i="11"/>
  <c r="U24" i="11" l="1"/>
  <c r="I17" i="11"/>
  <c r="W17" i="11"/>
  <c r="J20" i="11" l="1"/>
  <c r="H23" i="11" l="1"/>
  <c r="H22" i="11"/>
  <c r="H21" i="11"/>
  <c r="H20" i="11"/>
  <c r="H19" i="11"/>
  <c r="K93" i="14" l="1"/>
  <c r="K94" i="14"/>
  <c r="O94" i="14" s="1"/>
  <c r="K92" i="14"/>
  <c r="K115" i="14"/>
  <c r="O115" i="14" s="1"/>
  <c r="K116" i="14"/>
  <c r="K117" i="14"/>
  <c r="K114" i="14"/>
  <c r="O114" i="14" s="1"/>
  <c r="K107" i="14"/>
  <c r="O107" i="14" s="1"/>
  <c r="K106" i="14"/>
  <c r="O106" i="14" s="1"/>
  <c r="K105" i="14"/>
  <c r="O105" i="14" s="1"/>
  <c r="K100" i="14"/>
  <c r="O100" i="14" s="1"/>
  <c r="K99" i="14"/>
  <c r="O99" i="14" s="1"/>
  <c r="K91" i="14"/>
  <c r="O91" i="14" s="1"/>
  <c r="K90" i="14"/>
  <c r="O90" i="14" s="1"/>
  <c r="K87" i="14"/>
  <c r="K86" i="14"/>
  <c r="K82" i="14"/>
  <c r="O82" i="14" s="1"/>
  <c r="K81" i="14"/>
  <c r="O81" i="14" s="1"/>
  <c r="K80" i="14"/>
  <c r="O80" i="14" s="1"/>
  <c r="K79" i="14"/>
  <c r="K69" i="14"/>
  <c r="O69" i="14" s="1"/>
  <c r="K70" i="14"/>
  <c r="O70" i="14" s="1"/>
  <c r="K68" i="14"/>
  <c r="O68" i="14" s="1"/>
  <c r="K60" i="14"/>
  <c r="O60" i="14" s="1"/>
  <c r="K61" i="14"/>
  <c r="K59" i="14"/>
  <c r="O59" i="14" s="1"/>
  <c r="K51" i="14"/>
  <c r="O51" i="14" s="1"/>
  <c r="K49" i="14"/>
  <c r="O49" i="14" s="1"/>
  <c r="K50" i="14"/>
  <c r="O50" i="14" s="1"/>
  <c r="K48" i="14"/>
  <c r="O48" i="14" s="1"/>
  <c r="K39" i="14"/>
  <c r="O39" i="14" s="1"/>
  <c r="K38" i="14"/>
  <c r="O38" i="14" s="1"/>
  <c r="K37" i="14"/>
  <c r="O37" i="14" s="1"/>
  <c r="K29" i="14"/>
  <c r="O29" i="14" s="1"/>
  <c r="K30" i="14"/>
  <c r="O30" i="14" s="1"/>
  <c r="K27" i="14"/>
  <c r="K28" i="14"/>
  <c r="K26" i="14"/>
  <c r="O26" i="14" s="1"/>
  <c r="K16" i="14" l="1"/>
  <c r="O16" i="14" s="1"/>
  <c r="K17" i="14"/>
  <c r="O17" i="14" s="1"/>
  <c r="K18" i="14"/>
  <c r="O18" i="14" s="1"/>
  <c r="K19" i="14"/>
  <c r="K15" i="14"/>
  <c r="R204" i="4" l="1"/>
  <c r="R196" i="4"/>
  <c r="R197" i="4"/>
  <c r="R188" i="4"/>
  <c r="R187" i="4"/>
  <c r="I101" i="14" l="1"/>
  <c r="H101" i="14"/>
  <c r="T190" i="4"/>
  <c r="U190" i="4" s="1"/>
  <c r="U153" i="4"/>
  <c r="T153" i="4"/>
  <c r="U60" i="4"/>
  <c r="U59" i="4"/>
  <c r="T60" i="4"/>
  <c r="T59" i="4"/>
  <c r="T15" i="4"/>
  <c r="F35" i="4"/>
  <c r="E35" i="4"/>
  <c r="F12" i="4"/>
  <c r="E12" i="4"/>
  <c r="R177" i="4" l="1"/>
  <c r="P204" i="4"/>
  <c r="P201" i="4"/>
  <c r="P197" i="4"/>
  <c r="P196" i="4"/>
  <c r="P188" i="4"/>
  <c r="P187" i="4"/>
  <c r="O209" i="4"/>
  <c r="O204" i="4"/>
  <c r="O197" i="4"/>
  <c r="O196" i="4"/>
  <c r="O188" i="4"/>
  <c r="O187" i="4"/>
  <c r="O116" i="4"/>
  <c r="O54" i="4"/>
  <c r="S120" i="14" l="1"/>
  <c r="S111" i="14"/>
  <c r="S102" i="14"/>
  <c r="S96" i="14"/>
  <c r="S87" i="14"/>
  <c r="S76" i="14"/>
  <c r="S65" i="14"/>
  <c r="S56" i="14"/>
  <c r="S45" i="14"/>
  <c r="S34" i="14"/>
  <c r="S21" i="14"/>
  <c r="U120" i="14" l="1"/>
  <c r="S13" i="14"/>
  <c r="C347" i="4"/>
  <c r="O343" i="4"/>
  <c r="N343" i="4"/>
  <c r="N344" i="4" s="1"/>
  <c r="M343" i="4"/>
  <c r="O340" i="4"/>
  <c r="O344" i="4" s="1"/>
  <c r="O345" i="4" s="1"/>
  <c r="N340" i="4"/>
  <c r="M340" i="4"/>
  <c r="P340" i="4" s="1"/>
  <c r="L339" i="4"/>
  <c r="C332" i="4"/>
  <c r="P328" i="4"/>
  <c r="O328" i="4"/>
  <c r="O329" i="4" s="1"/>
  <c r="O330" i="4" s="1"/>
  <c r="N328" i="4"/>
  <c r="P325" i="4"/>
  <c r="P329" i="4" s="1"/>
  <c r="P330" i="4" s="1"/>
  <c r="O325" i="4"/>
  <c r="N325" i="4"/>
  <c r="Q325" i="4" s="1"/>
  <c r="M324" i="4"/>
  <c r="C319" i="4"/>
  <c r="N315" i="4"/>
  <c r="M315" i="4"/>
  <c r="M316" i="4" s="1"/>
  <c r="M317" i="4" s="1"/>
  <c r="L315" i="4"/>
  <c r="N312" i="4"/>
  <c r="N316" i="4" s="1"/>
  <c r="N317" i="4" s="1"/>
  <c r="M312" i="4"/>
  <c r="L312" i="4"/>
  <c r="O312" i="4" s="1"/>
  <c r="K311" i="4"/>
  <c r="C306" i="4"/>
  <c r="N302" i="4"/>
  <c r="M302" i="4"/>
  <c r="M303" i="4" s="1"/>
  <c r="M304" i="4" s="1"/>
  <c r="L302" i="4"/>
  <c r="N299" i="4"/>
  <c r="N303" i="4" s="1"/>
  <c r="N304" i="4" s="1"/>
  <c r="M299" i="4"/>
  <c r="L299" i="4"/>
  <c r="O299" i="4" s="1"/>
  <c r="K298" i="4"/>
  <c r="C293" i="4"/>
  <c r="N289" i="4"/>
  <c r="M289" i="4"/>
  <c r="M290" i="4" s="1"/>
  <c r="M291" i="4" s="1"/>
  <c r="L289" i="4"/>
  <c r="N286" i="4"/>
  <c r="N287" i="4" s="1"/>
  <c r="M286" i="4"/>
  <c r="L286" i="4"/>
  <c r="O286" i="4" s="1"/>
  <c r="K285" i="4"/>
  <c r="C277" i="4"/>
  <c r="N273" i="4"/>
  <c r="M273" i="4"/>
  <c r="M274" i="4" s="1"/>
  <c r="M275" i="4" s="1"/>
  <c r="L273" i="4"/>
  <c r="N270" i="4"/>
  <c r="N274" i="4" s="1"/>
  <c r="N275" i="4" s="1"/>
  <c r="M270" i="4"/>
  <c r="L270" i="4"/>
  <c r="O270" i="4" s="1"/>
  <c r="K269" i="4"/>
  <c r="S218" i="4"/>
  <c r="Q218" i="4"/>
  <c r="I218" i="4"/>
  <c r="H218" i="4"/>
  <c r="G218" i="4"/>
  <c r="U217" i="4"/>
  <c r="N217" i="4"/>
  <c r="T216" i="4"/>
  <c r="U216" i="4" s="1"/>
  <c r="N216" i="4"/>
  <c r="U215" i="4"/>
  <c r="N215" i="4"/>
  <c r="N214" i="4"/>
  <c r="N213" i="4"/>
  <c r="T212" i="4"/>
  <c r="U212" i="4" s="1"/>
  <c r="N212" i="4"/>
  <c r="U211" i="4"/>
  <c r="T211" i="4"/>
  <c r="N211" i="4"/>
  <c r="R210" i="4"/>
  <c r="P210" i="4"/>
  <c r="M210" i="4"/>
  <c r="I210" i="4"/>
  <c r="H210" i="4"/>
  <c r="G210" i="4"/>
  <c r="F210" i="4"/>
  <c r="E210" i="4"/>
  <c r="O210" i="4"/>
  <c r="J209" i="4"/>
  <c r="I208" i="4"/>
  <c r="H208" i="4"/>
  <c r="G208" i="4"/>
  <c r="F208" i="4"/>
  <c r="E208" i="4"/>
  <c r="J207" i="4"/>
  <c r="G207" i="4"/>
  <c r="J206" i="4"/>
  <c r="G206" i="4"/>
  <c r="R208" i="4"/>
  <c r="P208" i="4"/>
  <c r="N204" i="4"/>
  <c r="U202" i="4"/>
  <c r="T202" i="4"/>
  <c r="J202" i="4"/>
  <c r="G202" i="4"/>
  <c r="K201" i="4"/>
  <c r="J201" i="4"/>
  <c r="U200" i="4"/>
  <c r="T200" i="4"/>
  <c r="J200" i="4"/>
  <c r="G200" i="4"/>
  <c r="U199" i="4"/>
  <c r="T199" i="4"/>
  <c r="J199" i="4"/>
  <c r="G199" i="4"/>
  <c r="X197" i="4"/>
  <c r="W197" i="4"/>
  <c r="N197" i="4"/>
  <c r="W196" i="4"/>
  <c r="R203" i="4"/>
  <c r="P203" i="4"/>
  <c r="J194" i="4"/>
  <c r="G194" i="4"/>
  <c r="K193" i="4"/>
  <c r="J193" i="4" s="1"/>
  <c r="G193" i="4"/>
  <c r="J192" i="4"/>
  <c r="G192" i="4"/>
  <c r="J191" i="4"/>
  <c r="G191" i="4"/>
  <c r="J190" i="4"/>
  <c r="G190" i="4"/>
  <c r="O190" i="4" s="1"/>
  <c r="N189" i="4"/>
  <c r="T189" i="4" s="1"/>
  <c r="U189" i="4" s="1"/>
  <c r="W188" i="4"/>
  <c r="N188" i="4"/>
  <c r="Y187" i="4"/>
  <c r="X187" i="4"/>
  <c r="W187" i="4"/>
  <c r="S186" i="4"/>
  <c r="Q186" i="4"/>
  <c r="U185" i="4"/>
  <c r="N185" i="4"/>
  <c r="T184" i="4"/>
  <c r="U184" i="4" s="1"/>
  <c r="N184" i="4"/>
  <c r="U183" i="4"/>
  <c r="N183" i="4"/>
  <c r="N182" i="4"/>
  <c r="T181" i="4"/>
  <c r="U181" i="4" s="1"/>
  <c r="N181" i="4"/>
  <c r="T180" i="4"/>
  <c r="U180" i="4" s="1"/>
  <c r="N180" i="4"/>
  <c r="T179" i="4"/>
  <c r="U179" i="4" s="1"/>
  <c r="N179" i="4"/>
  <c r="P178" i="4"/>
  <c r="M178" i="4"/>
  <c r="I178" i="4"/>
  <c r="H178" i="4"/>
  <c r="F178" i="4"/>
  <c r="E178" i="4"/>
  <c r="R178" i="4"/>
  <c r="N177" i="4"/>
  <c r="T177" i="4" s="1"/>
  <c r="U177" i="4" s="1"/>
  <c r="J176" i="4"/>
  <c r="G176" i="4"/>
  <c r="O176" i="4" s="1"/>
  <c r="N176" i="4" s="1"/>
  <c r="I175" i="4"/>
  <c r="H175" i="4"/>
  <c r="F175" i="4"/>
  <c r="E175" i="4"/>
  <c r="L174" i="4"/>
  <c r="K174" i="4"/>
  <c r="J174" i="4" s="1"/>
  <c r="U174" i="4" s="1"/>
  <c r="G174" i="4"/>
  <c r="U173" i="4"/>
  <c r="T173" i="4"/>
  <c r="J173" i="4"/>
  <c r="G173" i="4"/>
  <c r="L171" i="4"/>
  <c r="K171" i="4"/>
  <c r="J171" i="4" s="1"/>
  <c r="G171" i="4"/>
  <c r="L170" i="4"/>
  <c r="K170" i="4"/>
  <c r="J170" i="4" s="1"/>
  <c r="G170" i="4"/>
  <c r="I169" i="4"/>
  <c r="H169" i="4"/>
  <c r="F169" i="4"/>
  <c r="E169" i="4"/>
  <c r="J168" i="4"/>
  <c r="U168" i="4" s="1"/>
  <c r="G168" i="4"/>
  <c r="R167" i="4"/>
  <c r="L167" i="4"/>
  <c r="K167" i="4"/>
  <c r="J167" i="4"/>
  <c r="G167" i="4"/>
  <c r="U166" i="4"/>
  <c r="T166" i="4"/>
  <c r="J166" i="4"/>
  <c r="G166" i="4"/>
  <c r="U165" i="4"/>
  <c r="T165" i="4"/>
  <c r="J165" i="4"/>
  <c r="G165" i="4"/>
  <c r="U164" i="4"/>
  <c r="T164" i="4"/>
  <c r="J164" i="4"/>
  <c r="G164" i="4"/>
  <c r="L162" i="4"/>
  <c r="K162" i="4"/>
  <c r="J162" i="4" s="1"/>
  <c r="G162" i="4"/>
  <c r="L161" i="4"/>
  <c r="K161" i="4"/>
  <c r="J161" i="4" s="1"/>
  <c r="G161" i="4"/>
  <c r="I160" i="4"/>
  <c r="I186" i="4" s="1"/>
  <c r="H160" i="4"/>
  <c r="H186" i="4" s="1"/>
  <c r="F160" i="4"/>
  <c r="F186" i="4" s="1"/>
  <c r="E160" i="4"/>
  <c r="E186" i="4" s="1"/>
  <c r="J159" i="4"/>
  <c r="U159" i="4" s="1"/>
  <c r="G159" i="4"/>
  <c r="L158" i="4"/>
  <c r="K158" i="4"/>
  <c r="J158" i="4" s="1"/>
  <c r="G158" i="4"/>
  <c r="U157" i="4"/>
  <c r="T157" i="4"/>
  <c r="J157" i="4"/>
  <c r="G157" i="4"/>
  <c r="U156" i="4"/>
  <c r="T156" i="4"/>
  <c r="J156" i="4"/>
  <c r="G156" i="4"/>
  <c r="U155" i="4"/>
  <c r="T155" i="4"/>
  <c r="J155" i="4"/>
  <c r="G155" i="4"/>
  <c r="U154" i="4"/>
  <c r="T154" i="4"/>
  <c r="J154" i="4"/>
  <c r="G154" i="4"/>
  <c r="J153" i="4"/>
  <c r="G153" i="4"/>
  <c r="U152" i="4"/>
  <c r="T152" i="4"/>
  <c r="J152" i="4"/>
  <c r="G152" i="4"/>
  <c r="U151" i="4"/>
  <c r="T151" i="4"/>
  <c r="J151" i="4"/>
  <c r="G151" i="4"/>
  <c r="L149" i="4"/>
  <c r="K149" i="4"/>
  <c r="J149" i="4" s="1"/>
  <c r="G149" i="4"/>
  <c r="S148" i="4"/>
  <c r="Q148" i="4"/>
  <c r="U147" i="4"/>
  <c r="N147" i="4"/>
  <c r="T146" i="4"/>
  <c r="U146" i="4" s="1"/>
  <c r="N146" i="4"/>
  <c r="U145" i="4"/>
  <c r="N145" i="4"/>
  <c r="N144" i="4"/>
  <c r="T143" i="4"/>
  <c r="U143" i="4" s="1"/>
  <c r="N143" i="4"/>
  <c r="U142" i="4"/>
  <c r="N142" i="4"/>
  <c r="T141" i="4"/>
  <c r="U141" i="4" s="1"/>
  <c r="N141" i="4"/>
  <c r="R140" i="4"/>
  <c r="P140" i="4"/>
  <c r="M140" i="4"/>
  <c r="I140" i="4"/>
  <c r="H140" i="4"/>
  <c r="F140" i="4"/>
  <c r="E140" i="4"/>
  <c r="J139" i="4"/>
  <c r="G139" i="4"/>
  <c r="I138" i="4"/>
  <c r="H138" i="4"/>
  <c r="F138" i="4"/>
  <c r="E138" i="4"/>
  <c r="L137" i="4"/>
  <c r="K137" i="4"/>
  <c r="G137" i="4"/>
  <c r="U136" i="4"/>
  <c r="T136" i="4"/>
  <c r="J136" i="4"/>
  <c r="G136" i="4"/>
  <c r="L134" i="4"/>
  <c r="K134" i="4"/>
  <c r="J134" i="4" s="1"/>
  <c r="G134" i="4"/>
  <c r="I133" i="4"/>
  <c r="H133" i="4"/>
  <c r="F133" i="4"/>
  <c r="E133" i="4"/>
  <c r="L132" i="4"/>
  <c r="K132" i="4"/>
  <c r="J132" i="4" s="1"/>
  <c r="G132" i="4"/>
  <c r="U131" i="4"/>
  <c r="T131" i="4"/>
  <c r="J131" i="4"/>
  <c r="G131" i="4"/>
  <c r="U130" i="4"/>
  <c r="T130" i="4"/>
  <c r="J130" i="4"/>
  <c r="G130" i="4"/>
  <c r="U129" i="4"/>
  <c r="T129" i="4"/>
  <c r="J129" i="4"/>
  <c r="G129" i="4"/>
  <c r="U128" i="4"/>
  <c r="T128" i="4"/>
  <c r="J128" i="4"/>
  <c r="G128" i="4"/>
  <c r="U127" i="4"/>
  <c r="T127" i="4"/>
  <c r="J127" i="4"/>
  <c r="G127" i="4"/>
  <c r="L125" i="4"/>
  <c r="K125" i="4"/>
  <c r="J125" i="4" s="1"/>
  <c r="G125" i="4"/>
  <c r="I124" i="4"/>
  <c r="I148" i="4" s="1"/>
  <c r="H124" i="4"/>
  <c r="H148" i="4" s="1"/>
  <c r="F124" i="4"/>
  <c r="F148" i="4" s="1"/>
  <c r="E124" i="4"/>
  <c r="E148" i="4" s="1"/>
  <c r="L123" i="4"/>
  <c r="K123" i="4"/>
  <c r="J123" i="4" s="1"/>
  <c r="G123" i="4"/>
  <c r="U122" i="4"/>
  <c r="T122" i="4"/>
  <c r="J122" i="4"/>
  <c r="G122" i="4"/>
  <c r="O122" i="4" s="1"/>
  <c r="N122" i="4" s="1"/>
  <c r="U121" i="4"/>
  <c r="T121" i="4"/>
  <c r="J121" i="4"/>
  <c r="G121" i="4"/>
  <c r="O121" i="4" s="1"/>
  <c r="N121" i="4" s="1"/>
  <c r="U120" i="4"/>
  <c r="T120" i="4"/>
  <c r="J120" i="4"/>
  <c r="G120" i="4"/>
  <c r="O120" i="4" s="1"/>
  <c r="N120" i="4" s="1"/>
  <c r="U119" i="4"/>
  <c r="T119" i="4"/>
  <c r="J119" i="4"/>
  <c r="G119" i="4"/>
  <c r="O119" i="4" s="1"/>
  <c r="N119" i="4" s="1"/>
  <c r="U118" i="4"/>
  <c r="T118" i="4"/>
  <c r="J118" i="4"/>
  <c r="G118" i="4"/>
  <c r="O118" i="4" s="1"/>
  <c r="N118" i="4" s="1"/>
  <c r="U117" i="4"/>
  <c r="T117" i="4"/>
  <c r="J117" i="4"/>
  <c r="G117" i="4"/>
  <c r="O117" i="4" s="1"/>
  <c r="N117" i="4" s="1"/>
  <c r="U116" i="4"/>
  <c r="T116" i="4"/>
  <c r="N116" i="4"/>
  <c r="J116" i="4"/>
  <c r="L114" i="4"/>
  <c r="K114" i="4"/>
  <c r="J114" i="4" s="1"/>
  <c r="G114" i="4"/>
  <c r="S113" i="4"/>
  <c r="Q113" i="4"/>
  <c r="U112" i="4"/>
  <c r="N112" i="4"/>
  <c r="T111" i="4"/>
  <c r="U111" i="4" s="1"/>
  <c r="N111" i="4"/>
  <c r="U110" i="4"/>
  <c r="N110" i="4"/>
  <c r="N109" i="4"/>
  <c r="V108" i="4"/>
  <c r="U108" i="4"/>
  <c r="N108" i="4"/>
  <c r="T107" i="4"/>
  <c r="U107" i="4" s="1"/>
  <c r="N107" i="4"/>
  <c r="T106" i="4"/>
  <c r="U106" i="4" s="1"/>
  <c r="N106" i="4"/>
  <c r="R105" i="4"/>
  <c r="P105" i="4"/>
  <c r="M105" i="4"/>
  <c r="I105" i="4"/>
  <c r="H105" i="4"/>
  <c r="F105" i="4"/>
  <c r="E105" i="4"/>
  <c r="J104" i="4"/>
  <c r="G104" i="4"/>
  <c r="I103" i="4"/>
  <c r="H103" i="4"/>
  <c r="F103" i="4"/>
  <c r="E103" i="4"/>
  <c r="L102" i="4"/>
  <c r="K102" i="4"/>
  <c r="J102" i="4"/>
  <c r="T102" i="4" s="1"/>
  <c r="G102" i="4"/>
  <c r="U101" i="4"/>
  <c r="T101" i="4"/>
  <c r="J101" i="4"/>
  <c r="G101" i="4"/>
  <c r="O101" i="4" s="1"/>
  <c r="N101" i="4" s="1"/>
  <c r="U100" i="4"/>
  <c r="T100" i="4"/>
  <c r="J100" i="4"/>
  <c r="G100" i="4"/>
  <c r="O100" i="4" s="1"/>
  <c r="N100" i="4" s="1"/>
  <c r="L98" i="4"/>
  <c r="K98" i="4"/>
  <c r="G98" i="4"/>
  <c r="I97" i="4"/>
  <c r="H97" i="4"/>
  <c r="F97" i="4"/>
  <c r="E97" i="4"/>
  <c r="L96" i="4"/>
  <c r="K96" i="4"/>
  <c r="J96" i="4" s="1"/>
  <c r="G96" i="4"/>
  <c r="U95" i="4"/>
  <c r="T95" i="4"/>
  <c r="J95" i="4"/>
  <c r="G95" i="4"/>
  <c r="U94" i="4"/>
  <c r="T94" i="4"/>
  <c r="J94" i="4"/>
  <c r="G94" i="4"/>
  <c r="U93" i="4"/>
  <c r="T93" i="4"/>
  <c r="J93" i="4"/>
  <c r="G93" i="4"/>
  <c r="L91" i="4"/>
  <c r="K91" i="4"/>
  <c r="J91" i="4"/>
  <c r="G91" i="4"/>
  <c r="I90" i="4"/>
  <c r="I113" i="4" s="1"/>
  <c r="H90" i="4"/>
  <c r="H113" i="4" s="1"/>
  <c r="F90" i="4"/>
  <c r="F113" i="4" s="1"/>
  <c r="E90" i="4"/>
  <c r="E113" i="4" s="1"/>
  <c r="L89" i="4"/>
  <c r="K89" i="4"/>
  <c r="J89" i="4"/>
  <c r="G89" i="4"/>
  <c r="U88" i="4"/>
  <c r="T88" i="4"/>
  <c r="J88" i="4"/>
  <c r="G88" i="4"/>
  <c r="O88" i="4" s="1"/>
  <c r="N88" i="4" s="1"/>
  <c r="U87" i="4"/>
  <c r="T87" i="4"/>
  <c r="J87" i="4"/>
  <c r="G87" i="4"/>
  <c r="O87" i="4" s="1"/>
  <c r="N87" i="4" s="1"/>
  <c r="U86" i="4"/>
  <c r="T86" i="4"/>
  <c r="J86" i="4"/>
  <c r="G86" i="4"/>
  <c r="O86" i="4" s="1"/>
  <c r="N86" i="4" s="1"/>
  <c r="U85" i="4"/>
  <c r="T85" i="4"/>
  <c r="J85" i="4"/>
  <c r="G85" i="4"/>
  <c r="O85" i="4" s="1"/>
  <c r="N85" i="4" s="1"/>
  <c r="U84" i="4"/>
  <c r="T84" i="4"/>
  <c r="J84" i="4"/>
  <c r="G84" i="4"/>
  <c r="O84" i="4" s="1"/>
  <c r="N84" i="4" s="1"/>
  <c r="U83" i="4"/>
  <c r="T83" i="4"/>
  <c r="J83" i="4"/>
  <c r="G83" i="4"/>
  <c r="O83" i="4" s="1"/>
  <c r="N83" i="4" s="1"/>
  <c r="L81" i="4"/>
  <c r="K81" i="4"/>
  <c r="G81" i="4"/>
  <c r="S80" i="4"/>
  <c r="Q80" i="4"/>
  <c r="U79" i="4"/>
  <c r="N79" i="4"/>
  <c r="T78" i="4"/>
  <c r="U78" i="4" s="1"/>
  <c r="N78" i="4"/>
  <c r="U77" i="4"/>
  <c r="N77" i="4"/>
  <c r="N76" i="4"/>
  <c r="V75" i="4"/>
  <c r="U75" i="4"/>
  <c r="N75" i="4"/>
  <c r="T74" i="4"/>
  <c r="U74" i="4" s="1"/>
  <c r="N74" i="4"/>
  <c r="T73" i="4"/>
  <c r="U73" i="4" s="1"/>
  <c r="N73" i="4"/>
  <c r="R72" i="4"/>
  <c r="P72" i="4"/>
  <c r="M72" i="4"/>
  <c r="I72" i="4"/>
  <c r="H72" i="4"/>
  <c r="F72" i="4"/>
  <c r="E72" i="4"/>
  <c r="J71" i="4"/>
  <c r="G71" i="4"/>
  <c r="O71" i="4" s="1"/>
  <c r="I70" i="4"/>
  <c r="H70" i="4"/>
  <c r="F70" i="4"/>
  <c r="E70" i="4"/>
  <c r="R69" i="4"/>
  <c r="L69" i="4"/>
  <c r="P69" i="4" s="1"/>
  <c r="K69" i="4"/>
  <c r="U68" i="4"/>
  <c r="T68" i="4"/>
  <c r="J68" i="4"/>
  <c r="G68" i="4"/>
  <c r="L66" i="4"/>
  <c r="K66" i="4"/>
  <c r="J66" i="4"/>
  <c r="G66" i="4"/>
  <c r="I65" i="4"/>
  <c r="H65" i="4"/>
  <c r="F65" i="4"/>
  <c r="E65" i="4"/>
  <c r="L64" i="4"/>
  <c r="K64" i="4"/>
  <c r="G64" i="4"/>
  <c r="U63" i="4"/>
  <c r="T63" i="4"/>
  <c r="J63" i="4"/>
  <c r="G63" i="4"/>
  <c r="U62" i="4"/>
  <c r="T62" i="4"/>
  <c r="J62" i="4"/>
  <c r="G62" i="4"/>
  <c r="U61" i="4"/>
  <c r="T61" i="4"/>
  <c r="J61" i="4"/>
  <c r="G61" i="4"/>
  <c r="J60" i="4"/>
  <c r="G60" i="4"/>
  <c r="J59" i="4"/>
  <c r="G59" i="4"/>
  <c r="L57" i="4"/>
  <c r="K57" i="4"/>
  <c r="J57" i="4" s="1"/>
  <c r="T57" i="4" s="1"/>
  <c r="G57" i="4"/>
  <c r="I56" i="4"/>
  <c r="I80" i="4" s="1"/>
  <c r="H56" i="4"/>
  <c r="H80" i="4" s="1"/>
  <c r="F56" i="4"/>
  <c r="F80" i="4" s="1"/>
  <c r="E56" i="4"/>
  <c r="E80" i="4" s="1"/>
  <c r="L55" i="4"/>
  <c r="K55" i="4"/>
  <c r="J55" i="4" s="1"/>
  <c r="G55" i="4"/>
  <c r="U54" i="4"/>
  <c r="T54" i="4"/>
  <c r="N54" i="4"/>
  <c r="J54" i="4"/>
  <c r="U53" i="4"/>
  <c r="T53" i="4"/>
  <c r="J53" i="4"/>
  <c r="G53" i="4"/>
  <c r="U52" i="4"/>
  <c r="T52" i="4"/>
  <c r="J52" i="4"/>
  <c r="G52" i="4"/>
  <c r="U51" i="4"/>
  <c r="T51" i="4"/>
  <c r="J51" i="4"/>
  <c r="G51" i="4"/>
  <c r="U50" i="4"/>
  <c r="T50" i="4"/>
  <c r="J50" i="4"/>
  <c r="G50" i="4"/>
  <c r="U49" i="4"/>
  <c r="T49" i="4"/>
  <c r="J49" i="4"/>
  <c r="G49" i="4"/>
  <c r="L47" i="4"/>
  <c r="K47" i="4"/>
  <c r="J47" i="4" s="1"/>
  <c r="G47" i="4"/>
  <c r="S46" i="4"/>
  <c r="Q46" i="4"/>
  <c r="U45" i="4"/>
  <c r="N45" i="4"/>
  <c r="T44" i="4"/>
  <c r="U44" i="4" s="1"/>
  <c r="N44" i="4"/>
  <c r="U43" i="4"/>
  <c r="N43" i="4"/>
  <c r="N42" i="4"/>
  <c r="T41" i="4"/>
  <c r="U41" i="4" s="1"/>
  <c r="T40" i="4"/>
  <c r="U40" i="4" s="1"/>
  <c r="N40" i="4"/>
  <c r="T39" i="4"/>
  <c r="U39" i="4" s="1"/>
  <c r="N39" i="4"/>
  <c r="R38" i="4"/>
  <c r="P38" i="4"/>
  <c r="M38" i="4"/>
  <c r="I38" i="4"/>
  <c r="H38" i="4"/>
  <c r="F38" i="4"/>
  <c r="E38" i="4"/>
  <c r="J37" i="4"/>
  <c r="G37" i="4"/>
  <c r="G38" i="4" s="1"/>
  <c r="I36" i="4"/>
  <c r="H36" i="4"/>
  <c r="F36" i="4"/>
  <c r="E36" i="4"/>
  <c r="L35" i="4"/>
  <c r="K35" i="4"/>
  <c r="J35" i="4" s="1"/>
  <c r="G35" i="4"/>
  <c r="R35" i="4" s="1"/>
  <c r="U34" i="4"/>
  <c r="T34" i="4"/>
  <c r="U33" i="4"/>
  <c r="T33" i="4"/>
  <c r="J33" i="4"/>
  <c r="G33" i="4"/>
  <c r="L31" i="4"/>
  <c r="K31" i="4"/>
  <c r="J31" i="4"/>
  <c r="G31" i="4"/>
  <c r="I30" i="4"/>
  <c r="H30" i="4"/>
  <c r="F30" i="4"/>
  <c r="E30" i="4"/>
  <c r="L29" i="4"/>
  <c r="K29" i="4"/>
  <c r="J29" i="4" s="1"/>
  <c r="G29" i="4"/>
  <c r="U28" i="4"/>
  <c r="T28" i="4"/>
  <c r="J28" i="4"/>
  <c r="G28" i="4"/>
  <c r="U27" i="4"/>
  <c r="T27" i="4"/>
  <c r="J27" i="4"/>
  <c r="G27" i="4"/>
  <c r="U26" i="4"/>
  <c r="T26" i="4"/>
  <c r="J26" i="4"/>
  <c r="G26" i="4"/>
  <c r="L24" i="4"/>
  <c r="K24" i="4"/>
  <c r="J24" i="4" s="1"/>
  <c r="T24" i="4" s="1"/>
  <c r="G24" i="4"/>
  <c r="I23" i="4"/>
  <c r="H23" i="4"/>
  <c r="H46" i="4" s="1"/>
  <c r="F23" i="4"/>
  <c r="E23" i="4"/>
  <c r="E46" i="4" s="1"/>
  <c r="L22" i="4"/>
  <c r="K22" i="4"/>
  <c r="J22" i="4" s="1"/>
  <c r="G22" i="4"/>
  <c r="U21" i="4"/>
  <c r="T21" i="4"/>
  <c r="J21" i="4"/>
  <c r="G21" i="4"/>
  <c r="U20" i="4"/>
  <c r="T20" i="4"/>
  <c r="J20" i="4"/>
  <c r="G20" i="4"/>
  <c r="U19" i="4"/>
  <c r="T19" i="4"/>
  <c r="J19" i="4"/>
  <c r="G19" i="4"/>
  <c r="U18" i="4"/>
  <c r="T18" i="4"/>
  <c r="J18" i="4"/>
  <c r="G18" i="4"/>
  <c r="U17" i="4"/>
  <c r="T17" i="4"/>
  <c r="J17" i="4"/>
  <c r="G17" i="4"/>
  <c r="U16" i="4"/>
  <c r="T16" i="4"/>
  <c r="J16" i="4"/>
  <c r="G16" i="4"/>
  <c r="U15" i="4"/>
  <c r="J15" i="4"/>
  <c r="G15" i="4"/>
  <c r="U14" i="4"/>
  <c r="T14" i="4"/>
  <c r="J14" i="4"/>
  <c r="G14" i="4"/>
  <c r="L12" i="4"/>
  <c r="K12" i="4"/>
  <c r="J12" i="4"/>
  <c r="G12" i="4"/>
  <c r="R12" i="4" s="1"/>
  <c r="V120" i="14"/>
  <c r="T120" i="14"/>
  <c r="M120" i="14"/>
  <c r="I119" i="14"/>
  <c r="H119" i="14"/>
  <c r="F119" i="14"/>
  <c r="E119" i="14"/>
  <c r="T118" i="14"/>
  <c r="U118" i="14" s="1"/>
  <c r="V118" i="14" s="1"/>
  <c r="K118" i="14"/>
  <c r="M118" i="14" s="1"/>
  <c r="T117" i="14"/>
  <c r="U117" i="14" s="1"/>
  <c r="V117" i="14" s="1"/>
  <c r="M117" i="14"/>
  <c r="T116" i="14"/>
  <c r="U116" i="14" s="1"/>
  <c r="M116" i="14"/>
  <c r="M115" i="14"/>
  <c r="J114" i="14"/>
  <c r="M114" i="14" s="1"/>
  <c r="AA113" i="14"/>
  <c r="M113" i="14"/>
  <c r="S112" i="14"/>
  <c r="M112" i="14"/>
  <c r="V111" i="14"/>
  <c r="U111" i="14"/>
  <c r="AA104" i="14" s="1"/>
  <c r="T111" i="14"/>
  <c r="M111" i="14"/>
  <c r="I110" i="14"/>
  <c r="H110" i="14"/>
  <c r="F110" i="14"/>
  <c r="E110" i="14"/>
  <c r="T109" i="14"/>
  <c r="U109" i="14" s="1"/>
  <c r="V109" i="14" s="1"/>
  <c r="K109" i="14"/>
  <c r="M109" i="14" s="1"/>
  <c r="T108" i="14"/>
  <c r="U108" i="14" s="1"/>
  <c r="K108" i="14"/>
  <c r="M108" i="14" s="1"/>
  <c r="M104" i="14"/>
  <c r="S103" i="14"/>
  <c r="M103" i="14"/>
  <c r="V102" i="14"/>
  <c r="U102" i="14"/>
  <c r="AA98" i="14" s="1"/>
  <c r="T102" i="14"/>
  <c r="M102" i="14"/>
  <c r="F101" i="14"/>
  <c r="E101" i="14"/>
  <c r="M100" i="14"/>
  <c r="J99" i="14"/>
  <c r="M98" i="14"/>
  <c r="S97" i="14"/>
  <c r="M97" i="14"/>
  <c r="V96" i="14"/>
  <c r="U96" i="14"/>
  <c r="AA89" i="14" s="1"/>
  <c r="T96" i="14"/>
  <c r="M96" i="14"/>
  <c r="I95" i="14"/>
  <c r="H95" i="14"/>
  <c r="F95" i="14"/>
  <c r="E95" i="14"/>
  <c r="M94" i="14"/>
  <c r="T93" i="14"/>
  <c r="U93" i="14" s="1"/>
  <c r="V93" i="14" s="1"/>
  <c r="Q92" i="14"/>
  <c r="Q91" i="14"/>
  <c r="G95" i="14"/>
  <c r="M89" i="14"/>
  <c r="S88" i="14"/>
  <c r="M88" i="14"/>
  <c r="V87" i="14"/>
  <c r="U87" i="14"/>
  <c r="T87" i="14"/>
  <c r="M87" i="14"/>
  <c r="I86" i="14"/>
  <c r="H86" i="14"/>
  <c r="F86" i="14"/>
  <c r="E86" i="14"/>
  <c r="M85" i="14"/>
  <c r="O85" i="14"/>
  <c r="M84" i="14"/>
  <c r="M83" i="14"/>
  <c r="O83" i="14"/>
  <c r="M82" i="14"/>
  <c r="Q82" i="14"/>
  <c r="M80" i="14"/>
  <c r="V79" i="14"/>
  <c r="J79" i="14"/>
  <c r="M79" i="14" s="1"/>
  <c r="G79" i="14"/>
  <c r="Q79" i="14" s="1"/>
  <c r="AA78" i="14"/>
  <c r="M78" i="14"/>
  <c r="S77" i="14"/>
  <c r="M77" i="14"/>
  <c r="V76" i="14"/>
  <c r="U76" i="14"/>
  <c r="T76" i="14"/>
  <c r="M76" i="14"/>
  <c r="I75" i="14"/>
  <c r="H75" i="14"/>
  <c r="F75" i="14"/>
  <c r="E75" i="14"/>
  <c r="N75" i="14" s="1"/>
  <c r="M74" i="14"/>
  <c r="T74" i="14"/>
  <c r="U74" i="14" s="1"/>
  <c r="V74" i="14" s="1"/>
  <c r="M73" i="14"/>
  <c r="T73" i="14"/>
  <c r="U73" i="14" s="1"/>
  <c r="V73" i="14" s="1"/>
  <c r="T72" i="14"/>
  <c r="U72" i="14" s="1"/>
  <c r="K72" i="14"/>
  <c r="G72" i="14"/>
  <c r="T71" i="14"/>
  <c r="U71" i="14" s="1"/>
  <c r="V71" i="14" s="1"/>
  <c r="K71" i="14"/>
  <c r="G71" i="14"/>
  <c r="M70" i="14"/>
  <c r="M69" i="14"/>
  <c r="J68" i="14"/>
  <c r="AA67" i="14"/>
  <c r="M67" i="14"/>
  <c r="S66" i="14"/>
  <c r="M66" i="14"/>
  <c r="V65" i="14"/>
  <c r="U65" i="14"/>
  <c r="AA58" i="14" s="1"/>
  <c r="T65" i="14"/>
  <c r="M65" i="14"/>
  <c r="F64" i="14"/>
  <c r="E64" i="14"/>
  <c r="T63" i="14"/>
  <c r="U63" i="14" s="1"/>
  <c r="V63" i="14" s="1"/>
  <c r="K63" i="14"/>
  <c r="T62" i="14"/>
  <c r="U62" i="14" s="1"/>
  <c r="V62" i="14" s="1"/>
  <c r="K62" i="14"/>
  <c r="M61" i="14"/>
  <c r="G61" i="14"/>
  <c r="O61" i="14" s="1"/>
  <c r="M60" i="14"/>
  <c r="Q59" i="14"/>
  <c r="M58" i="14"/>
  <c r="S57" i="14"/>
  <c r="R57" i="14"/>
  <c r="P57" i="14"/>
  <c r="M57" i="14"/>
  <c r="V56" i="14"/>
  <c r="U56" i="14"/>
  <c r="AA47" i="14" s="1"/>
  <c r="T56" i="14"/>
  <c r="M56" i="14"/>
  <c r="F55" i="14"/>
  <c r="E55" i="14"/>
  <c r="T54" i="14"/>
  <c r="U54" i="14" s="1"/>
  <c r="V54" i="14" s="1"/>
  <c r="K54" i="14"/>
  <c r="M54" i="14" s="1"/>
  <c r="T53" i="14"/>
  <c r="U53" i="14" s="1"/>
  <c r="V53" i="14" s="1"/>
  <c r="K53" i="14"/>
  <c r="M53" i="14" s="1"/>
  <c r="T52" i="14"/>
  <c r="U52" i="14" s="1"/>
  <c r="K52" i="14"/>
  <c r="M52" i="14" s="1"/>
  <c r="M51" i="14"/>
  <c r="M50" i="14"/>
  <c r="M49" i="14"/>
  <c r="J48" i="14"/>
  <c r="M47" i="14"/>
  <c r="S46" i="14"/>
  <c r="M46" i="14"/>
  <c r="V45" i="14"/>
  <c r="U45" i="14"/>
  <c r="AA36" i="14" s="1"/>
  <c r="T45" i="14"/>
  <c r="M45" i="14"/>
  <c r="I44" i="14"/>
  <c r="H44" i="14"/>
  <c r="F44" i="14"/>
  <c r="E44" i="14"/>
  <c r="T43" i="14"/>
  <c r="U43" i="14" s="1"/>
  <c r="V43" i="14" s="1"/>
  <c r="K43" i="14"/>
  <c r="M43" i="14" s="1"/>
  <c r="T42" i="14"/>
  <c r="U42" i="14" s="1"/>
  <c r="V42" i="14" s="1"/>
  <c r="K42" i="14"/>
  <c r="M42" i="14" s="1"/>
  <c r="T41" i="14"/>
  <c r="U41" i="14" s="1"/>
  <c r="V41" i="14" s="1"/>
  <c r="K41" i="14"/>
  <c r="M41" i="14" s="1"/>
  <c r="T40" i="14"/>
  <c r="U40" i="14" s="1"/>
  <c r="K40" i="14"/>
  <c r="M40" i="14" s="1"/>
  <c r="M39" i="14"/>
  <c r="M38" i="14"/>
  <c r="Q38" i="14"/>
  <c r="J37" i="14"/>
  <c r="M36" i="14"/>
  <c r="S35" i="14"/>
  <c r="M35" i="14"/>
  <c r="V34" i="14"/>
  <c r="U34" i="14"/>
  <c r="AA20" i="14" s="1"/>
  <c r="T34" i="14"/>
  <c r="M34" i="14"/>
  <c r="F33" i="14"/>
  <c r="E33" i="14"/>
  <c r="N33" i="14" s="1"/>
  <c r="T32" i="14"/>
  <c r="U32" i="14" s="1"/>
  <c r="K32" i="14"/>
  <c r="M32" i="14" s="1"/>
  <c r="G32" i="14"/>
  <c r="T31" i="14"/>
  <c r="U31" i="14" s="1"/>
  <c r="V31" i="14" s="1"/>
  <c r="K31" i="14"/>
  <c r="M31" i="14" s="1"/>
  <c r="G31" i="14"/>
  <c r="Q29" i="14"/>
  <c r="M29" i="14"/>
  <c r="V28" i="14"/>
  <c r="G28" i="14"/>
  <c r="Q28" i="14" s="1"/>
  <c r="V27" i="14"/>
  <c r="G27" i="14"/>
  <c r="Q27" i="14" s="1"/>
  <c r="M25" i="14"/>
  <c r="S24" i="14"/>
  <c r="R24" i="14"/>
  <c r="R121" i="14" s="1"/>
  <c r="P24" i="14"/>
  <c r="P121" i="14" s="1"/>
  <c r="M24" i="14"/>
  <c r="T23" i="14"/>
  <c r="U23" i="14" s="1"/>
  <c r="V23" i="14" s="1"/>
  <c r="M23" i="14"/>
  <c r="T22" i="14"/>
  <c r="U22" i="14" s="1"/>
  <c r="V22" i="14" s="1"/>
  <c r="M22" i="14"/>
  <c r="V21" i="14"/>
  <c r="M21" i="14"/>
  <c r="I20" i="14"/>
  <c r="H20" i="14"/>
  <c r="F20" i="14"/>
  <c r="E20" i="14"/>
  <c r="N20" i="14" s="1"/>
  <c r="X19" i="14"/>
  <c r="G19" i="14"/>
  <c r="M18" i="14"/>
  <c r="Q17" i="14"/>
  <c r="Q16" i="14"/>
  <c r="G15" i="14"/>
  <c r="Q15" i="14" s="1"/>
  <c r="S14" i="14"/>
  <c r="R14" i="14"/>
  <c r="P14" i="14"/>
  <c r="L19" i="11"/>
  <c r="L20" i="11"/>
  <c r="L21" i="11"/>
  <c r="L22" i="11"/>
  <c r="L23" i="11"/>
  <c r="K19" i="11"/>
  <c r="K20" i="11"/>
  <c r="K21" i="11"/>
  <c r="K22" i="11"/>
  <c r="K23" i="11"/>
  <c r="O16" i="4" l="1"/>
  <c r="N16" i="4" s="1"/>
  <c r="N17" i="4"/>
  <c r="O17" i="4"/>
  <c r="N18" i="4"/>
  <c r="O18" i="4"/>
  <c r="N19" i="4"/>
  <c r="O19" i="4"/>
  <c r="N20" i="4"/>
  <c r="O20" i="4"/>
  <c r="O21" i="4"/>
  <c r="N21" i="4" s="1"/>
  <c r="R22" i="4"/>
  <c r="O22" i="4"/>
  <c r="P22" i="4"/>
  <c r="P24" i="4"/>
  <c r="O24" i="4"/>
  <c r="O26" i="4"/>
  <c r="N26" i="4" s="1"/>
  <c r="O27" i="4"/>
  <c r="N27" i="4" s="1"/>
  <c r="O28" i="4"/>
  <c r="N28" i="4" s="1"/>
  <c r="R29" i="4"/>
  <c r="P29" i="4"/>
  <c r="O29" i="4"/>
  <c r="N49" i="4"/>
  <c r="O49" i="4"/>
  <c r="N50" i="4"/>
  <c r="O50" i="4"/>
  <c r="N51" i="4"/>
  <c r="O51" i="4"/>
  <c r="N52" i="4"/>
  <c r="O52" i="4"/>
  <c r="N53" i="4"/>
  <c r="O53" i="4"/>
  <c r="O55" i="4"/>
  <c r="P55" i="4"/>
  <c r="P57" i="4"/>
  <c r="O57" i="4"/>
  <c r="O59" i="4"/>
  <c r="N59" i="4" s="1"/>
  <c r="O60" i="4"/>
  <c r="N60" i="4" s="1"/>
  <c r="O61" i="4"/>
  <c r="N61" i="4" s="1"/>
  <c r="O62" i="4"/>
  <c r="N62" i="4" s="1"/>
  <c r="O63" i="4"/>
  <c r="N63" i="4" s="1"/>
  <c r="R64" i="4"/>
  <c r="P64" i="4"/>
  <c r="O64" i="4"/>
  <c r="U69" i="4"/>
  <c r="O69" i="4"/>
  <c r="R81" i="4"/>
  <c r="P81" i="4"/>
  <c r="O81" i="4"/>
  <c r="G103" i="4"/>
  <c r="O98" i="4"/>
  <c r="P98" i="4"/>
  <c r="G124" i="4"/>
  <c r="R114" i="4"/>
  <c r="P114" i="4"/>
  <c r="O114" i="4"/>
  <c r="R123" i="4"/>
  <c r="P123" i="4"/>
  <c r="O123" i="4"/>
  <c r="G133" i="4"/>
  <c r="R125" i="4"/>
  <c r="O125" i="4"/>
  <c r="P125" i="4"/>
  <c r="N127" i="4"/>
  <c r="O127" i="4"/>
  <c r="N128" i="4"/>
  <c r="O128" i="4"/>
  <c r="N129" i="4"/>
  <c r="O129" i="4"/>
  <c r="N130" i="4"/>
  <c r="O130" i="4"/>
  <c r="N131" i="4"/>
  <c r="O131" i="4"/>
  <c r="P132" i="4"/>
  <c r="O132" i="4"/>
  <c r="P134" i="4"/>
  <c r="O134" i="4"/>
  <c r="O136" i="4"/>
  <c r="N136" i="4" s="1"/>
  <c r="O137" i="4"/>
  <c r="G140" i="4"/>
  <c r="O139" i="4"/>
  <c r="N139" i="4" s="1"/>
  <c r="R149" i="4"/>
  <c r="P149" i="4"/>
  <c r="O149" i="4"/>
  <c r="O151" i="4"/>
  <c r="N151" i="4" s="1"/>
  <c r="O152" i="4"/>
  <c r="N152" i="4" s="1"/>
  <c r="O153" i="4"/>
  <c r="N153" i="4" s="1"/>
  <c r="O154" i="4"/>
  <c r="N154" i="4" s="1"/>
  <c r="O155" i="4"/>
  <c r="N155" i="4" s="1"/>
  <c r="O156" i="4"/>
  <c r="N156" i="4" s="1"/>
  <c r="O157" i="4"/>
  <c r="N157" i="4" s="1"/>
  <c r="R158" i="4"/>
  <c r="P158" i="4"/>
  <c r="O158" i="4"/>
  <c r="N159" i="4"/>
  <c r="O159" i="4"/>
  <c r="R161" i="4"/>
  <c r="P161" i="4"/>
  <c r="O161" i="4"/>
  <c r="P162" i="4"/>
  <c r="O162" i="4"/>
  <c r="O164" i="4"/>
  <c r="N164" i="4" s="1"/>
  <c r="O165" i="4"/>
  <c r="N165" i="4" s="1"/>
  <c r="O166" i="4"/>
  <c r="N166" i="4" s="1"/>
  <c r="O167" i="4"/>
  <c r="P167" i="4"/>
  <c r="O191" i="4"/>
  <c r="N191" i="4" s="1"/>
  <c r="T191" i="4" s="1"/>
  <c r="U191" i="4" s="1"/>
  <c r="O192" i="4"/>
  <c r="N192" i="4" s="1"/>
  <c r="T192" i="4" s="1"/>
  <c r="U192" i="4" s="1"/>
  <c r="R193" i="4"/>
  <c r="R195" i="4" s="1"/>
  <c r="P193" i="4"/>
  <c r="O193" i="4"/>
  <c r="N199" i="4"/>
  <c r="O199" i="4"/>
  <c r="N200" i="4"/>
  <c r="O200" i="4"/>
  <c r="N202" i="4"/>
  <c r="O202" i="4"/>
  <c r="N206" i="4"/>
  <c r="O206" i="4"/>
  <c r="O207" i="4"/>
  <c r="N207" i="4" s="1"/>
  <c r="N208" i="4" s="1"/>
  <c r="M271" i="4"/>
  <c r="M287" i="4"/>
  <c r="L290" i="4"/>
  <c r="L291" i="4" s="1"/>
  <c r="N290" i="4"/>
  <c r="N291" i="4" s="1"/>
  <c r="M300" i="4"/>
  <c r="M313" i="4"/>
  <c r="O326" i="4"/>
  <c r="N341" i="4"/>
  <c r="O14" i="4"/>
  <c r="N14" i="4" s="1"/>
  <c r="O15" i="4"/>
  <c r="N15" i="4" s="1"/>
  <c r="F46" i="4"/>
  <c r="I46" i="4"/>
  <c r="R31" i="4"/>
  <c r="P31" i="4"/>
  <c r="O31" i="4"/>
  <c r="N33" i="4"/>
  <c r="O33" i="4"/>
  <c r="O37" i="4"/>
  <c r="G56" i="4"/>
  <c r="R47" i="4"/>
  <c r="P47" i="4"/>
  <c r="O47" i="4"/>
  <c r="J64" i="4"/>
  <c r="G70" i="4"/>
  <c r="P66" i="4"/>
  <c r="O66" i="4"/>
  <c r="O68" i="4"/>
  <c r="N68" i="4" s="1"/>
  <c r="J69" i="4"/>
  <c r="J81" i="4"/>
  <c r="R89" i="4"/>
  <c r="P89" i="4"/>
  <c r="O89" i="4"/>
  <c r="G97" i="4"/>
  <c r="P91" i="4"/>
  <c r="P97" i="4" s="1"/>
  <c r="O91" i="4"/>
  <c r="O93" i="4"/>
  <c r="N93" i="4" s="1"/>
  <c r="O94" i="4"/>
  <c r="N94" i="4" s="1"/>
  <c r="O95" i="4"/>
  <c r="N95" i="4" s="1"/>
  <c r="P96" i="4"/>
  <c r="O96" i="4"/>
  <c r="J98" i="4"/>
  <c r="P102" i="4"/>
  <c r="O102" i="4"/>
  <c r="R102" i="4"/>
  <c r="N102" i="4" s="1"/>
  <c r="G105" i="4"/>
  <c r="O104" i="4"/>
  <c r="N104" i="4" s="1"/>
  <c r="P124" i="4"/>
  <c r="J137" i="4"/>
  <c r="U137" i="4" s="1"/>
  <c r="P137" i="4"/>
  <c r="P138" i="4" s="1"/>
  <c r="N168" i="4"/>
  <c r="O168" i="4"/>
  <c r="R170" i="4"/>
  <c r="P170" i="4"/>
  <c r="O170" i="4"/>
  <c r="P171" i="4"/>
  <c r="O171" i="4"/>
  <c r="O173" i="4"/>
  <c r="N173" i="4" s="1"/>
  <c r="O194" i="4"/>
  <c r="N194" i="4" s="1"/>
  <c r="T194" i="4" s="1"/>
  <c r="U194" i="4" s="1"/>
  <c r="O201" i="4"/>
  <c r="N201" i="4" s="1"/>
  <c r="T201" i="4" s="1"/>
  <c r="U201" i="4" s="1"/>
  <c r="N345" i="4"/>
  <c r="N61" i="14"/>
  <c r="G101" i="14"/>
  <c r="Q100" i="14"/>
  <c r="Q105" i="14"/>
  <c r="G119" i="14"/>
  <c r="Q119" i="14" s="1"/>
  <c r="O15" i="14"/>
  <c r="O95" i="14"/>
  <c r="Q95" i="14"/>
  <c r="G55" i="14"/>
  <c r="Q55" i="14" s="1"/>
  <c r="G20" i="14"/>
  <c r="Q20" i="14" s="1"/>
  <c r="Q18" i="14"/>
  <c r="O19" i="14"/>
  <c r="Q19" i="14"/>
  <c r="M101" i="14"/>
  <c r="Q101" i="14"/>
  <c r="Q115" i="14"/>
  <c r="N19" i="14"/>
  <c r="M26" i="14"/>
  <c r="M27" i="14"/>
  <c r="M28" i="14"/>
  <c r="M30" i="14"/>
  <c r="M37" i="14"/>
  <c r="G44" i="14"/>
  <c r="Q44" i="14" s="1"/>
  <c r="M48" i="14"/>
  <c r="M59" i="14"/>
  <c r="M68" i="14"/>
  <c r="G75" i="14"/>
  <c r="M90" i="14"/>
  <c r="M91" i="14"/>
  <c r="M92" i="14"/>
  <c r="T94" i="14"/>
  <c r="U94" i="14" s="1"/>
  <c r="V94" i="14" s="1"/>
  <c r="M99" i="14"/>
  <c r="M105" i="14"/>
  <c r="M106" i="14"/>
  <c r="M107" i="14"/>
  <c r="T204" i="4"/>
  <c r="T197" i="4"/>
  <c r="U197" i="4" s="1"/>
  <c r="T188" i="4"/>
  <c r="U188" i="4" s="1"/>
  <c r="T64" i="4"/>
  <c r="U64" i="4" s="1"/>
  <c r="T55" i="4"/>
  <c r="U55" i="4" s="1"/>
  <c r="T22" i="4"/>
  <c r="U22" i="4" s="1"/>
  <c r="P35" i="4"/>
  <c r="O35" i="4"/>
  <c r="O12" i="4"/>
  <c r="O23" i="4" s="1"/>
  <c r="P12" i="4"/>
  <c r="R218" i="4"/>
  <c r="W218" i="4" s="1"/>
  <c r="X218" i="4" s="1"/>
  <c r="R36" i="4"/>
  <c r="S121" i="14"/>
  <c r="T19" i="14"/>
  <c r="U19" i="14" s="1"/>
  <c r="U24" i="4"/>
  <c r="N37" i="4"/>
  <c r="O38" i="4"/>
  <c r="T65" i="4"/>
  <c r="U57" i="4"/>
  <c r="P90" i="4"/>
  <c r="O72" i="4"/>
  <c r="N71" i="4"/>
  <c r="N105" i="4"/>
  <c r="T105" i="4" s="1"/>
  <c r="U105" i="4" s="1"/>
  <c r="T104" i="4"/>
  <c r="U104" i="4" s="1"/>
  <c r="O178" i="4"/>
  <c r="N281" i="4"/>
  <c r="N280" i="4"/>
  <c r="N279" i="4"/>
  <c r="N278" i="4"/>
  <c r="N277" i="4"/>
  <c r="N276" i="4"/>
  <c r="M276" i="4"/>
  <c r="M281" i="4"/>
  <c r="M280" i="4"/>
  <c r="M279" i="4"/>
  <c r="M278" i="4"/>
  <c r="M277" i="4"/>
  <c r="M292" i="4"/>
  <c r="M296" i="4"/>
  <c r="M295" i="4"/>
  <c r="M294" i="4"/>
  <c r="M293" i="4"/>
  <c r="N309" i="4"/>
  <c r="N308" i="4"/>
  <c r="N307" i="4"/>
  <c r="N306" i="4"/>
  <c r="N305" i="4"/>
  <c r="M305" i="4"/>
  <c r="M309" i="4"/>
  <c r="M308" i="4"/>
  <c r="M307" i="4"/>
  <c r="M306" i="4"/>
  <c r="N322" i="4"/>
  <c r="N321" i="4"/>
  <c r="N320" i="4"/>
  <c r="N319" i="4"/>
  <c r="N318" i="4"/>
  <c r="M318" i="4"/>
  <c r="M322" i="4"/>
  <c r="M321" i="4"/>
  <c r="M320" i="4"/>
  <c r="M319" i="4"/>
  <c r="P337" i="4"/>
  <c r="P336" i="4"/>
  <c r="P335" i="4"/>
  <c r="P334" i="4"/>
  <c r="P333" i="4"/>
  <c r="P332" i="4"/>
  <c r="P331" i="4"/>
  <c r="O331" i="4"/>
  <c r="O337" i="4"/>
  <c r="O336" i="4"/>
  <c r="O335" i="4"/>
  <c r="O334" i="4"/>
  <c r="O333" i="4"/>
  <c r="O332" i="4"/>
  <c r="O351" i="4"/>
  <c r="O350" i="4"/>
  <c r="O349" i="4"/>
  <c r="O348" i="4"/>
  <c r="O347" i="4"/>
  <c r="O346" i="4"/>
  <c r="N346" i="4"/>
  <c r="N351" i="4"/>
  <c r="N350" i="4"/>
  <c r="N349" i="4"/>
  <c r="N348" i="4"/>
  <c r="N347" i="4"/>
  <c r="R23" i="4"/>
  <c r="P23" i="4"/>
  <c r="G23" i="4"/>
  <c r="R24" i="4"/>
  <c r="R30" i="4" s="1"/>
  <c r="P30" i="4"/>
  <c r="G30" i="4"/>
  <c r="N35" i="4"/>
  <c r="G36" i="4"/>
  <c r="R55" i="4"/>
  <c r="R57" i="4"/>
  <c r="R65" i="4" s="1"/>
  <c r="P65" i="4"/>
  <c r="G65" i="4"/>
  <c r="G80" i="4" s="1"/>
  <c r="P70" i="4"/>
  <c r="T69" i="4"/>
  <c r="G72" i="4"/>
  <c r="R90" i="4"/>
  <c r="G90" i="4"/>
  <c r="G113" i="4" s="1"/>
  <c r="R96" i="4"/>
  <c r="R98" i="4"/>
  <c r="R103" i="4" s="1"/>
  <c r="U102" i="4"/>
  <c r="O105" i="4"/>
  <c r="S219" i="4"/>
  <c r="L296" i="4"/>
  <c r="L295" i="4"/>
  <c r="L294" i="4"/>
  <c r="L293" i="4"/>
  <c r="O293" i="4" s="1"/>
  <c r="L292" i="4"/>
  <c r="N296" i="4"/>
  <c r="N295" i="4"/>
  <c r="N294" i="4"/>
  <c r="N293" i="4"/>
  <c r="N292" i="4"/>
  <c r="N22" i="4"/>
  <c r="N29" i="4"/>
  <c r="P56" i="4"/>
  <c r="N64" i="4"/>
  <c r="R66" i="4"/>
  <c r="R70" i="4" s="1"/>
  <c r="N69" i="4"/>
  <c r="N89" i="4"/>
  <c r="R91" i="4"/>
  <c r="R97" i="4" s="1"/>
  <c r="P103" i="4"/>
  <c r="R124" i="4"/>
  <c r="N123" i="4"/>
  <c r="Q219" i="4"/>
  <c r="P133" i="4"/>
  <c r="R132" i="4"/>
  <c r="R133" i="4" s="1"/>
  <c r="R134" i="4"/>
  <c r="R138" i="4" s="1"/>
  <c r="T137" i="4"/>
  <c r="G138" i="4"/>
  <c r="G148" i="4" s="1"/>
  <c r="R160" i="4"/>
  <c r="P160" i="4"/>
  <c r="T159" i="4"/>
  <c r="G160" i="4"/>
  <c r="R162" i="4"/>
  <c r="R169" i="4" s="1"/>
  <c r="N167" i="4"/>
  <c r="T168" i="4"/>
  <c r="G169" i="4"/>
  <c r="P175" i="4"/>
  <c r="R171" i="4"/>
  <c r="R175" i="4" s="1"/>
  <c r="T174" i="4"/>
  <c r="G175" i="4"/>
  <c r="G178" i="4"/>
  <c r="N187" i="4"/>
  <c r="T187" i="4" s="1"/>
  <c r="P195" i="4"/>
  <c r="P218" i="4" s="1"/>
  <c r="N196" i="4"/>
  <c r="T196" i="4" s="1"/>
  <c r="T206" i="4"/>
  <c r="U206" i="4" s="1"/>
  <c r="T207" i="4"/>
  <c r="U207" i="4" s="1"/>
  <c r="N209" i="4"/>
  <c r="L271" i="4"/>
  <c r="N271" i="4"/>
  <c r="L274" i="4"/>
  <c r="L275" i="4" s="1"/>
  <c r="L287" i="4"/>
  <c r="L300" i="4"/>
  <c r="N300" i="4"/>
  <c r="L303" i="4"/>
  <c r="L304" i="4" s="1"/>
  <c r="L313" i="4"/>
  <c r="N313" i="4"/>
  <c r="L316" i="4"/>
  <c r="L317" i="4" s="1"/>
  <c r="N326" i="4"/>
  <c r="P326" i="4"/>
  <c r="N329" i="4"/>
  <c r="N330" i="4" s="1"/>
  <c r="M341" i="4"/>
  <c r="O341" i="4"/>
  <c r="M344" i="4"/>
  <c r="M345" i="4" s="1"/>
  <c r="N158" i="4"/>
  <c r="X177" i="4"/>
  <c r="N193" i="4"/>
  <c r="V19" i="14"/>
  <c r="O20" i="14"/>
  <c r="M20" i="14"/>
  <c r="T20" i="14"/>
  <c r="U20" i="14" s="1"/>
  <c r="V20" i="14" s="1"/>
  <c r="V32" i="14"/>
  <c r="V40" i="14"/>
  <c r="V52" i="14"/>
  <c r="V72" i="14"/>
  <c r="N44" i="14"/>
  <c r="M44" i="14"/>
  <c r="O55" i="14"/>
  <c r="N55" i="14"/>
  <c r="M55" i="14"/>
  <c r="V108" i="14"/>
  <c r="O119" i="14"/>
  <c r="T119" i="14" s="1"/>
  <c r="M119" i="14"/>
  <c r="V116" i="14"/>
  <c r="M15" i="14"/>
  <c r="M16" i="14"/>
  <c r="M17" i="14"/>
  <c r="U21" i="14"/>
  <c r="AB11" i="14" s="1"/>
  <c r="N15" i="14"/>
  <c r="T16" i="14"/>
  <c r="U16" i="14" s="1"/>
  <c r="T17" i="14"/>
  <c r="U17" i="14" s="1"/>
  <c r="V17" i="14" s="1"/>
  <c r="O14" i="14"/>
  <c r="O13" i="14" s="1"/>
  <c r="T21" i="14"/>
  <c r="Q26" i="14"/>
  <c r="O27" i="14"/>
  <c r="O28" i="14"/>
  <c r="T29" i="14"/>
  <c r="U29" i="14" s="1"/>
  <c r="V29" i="14" s="1"/>
  <c r="Q30" i="14"/>
  <c r="G33" i="14"/>
  <c r="N37" i="14"/>
  <c r="Q37" i="14"/>
  <c r="N48" i="14"/>
  <c r="Q48" i="14"/>
  <c r="Q49" i="14"/>
  <c r="Q50" i="14"/>
  <c r="O47" i="14"/>
  <c r="O46" i="14" s="1"/>
  <c r="O58" i="14"/>
  <c r="O57" i="14" s="1"/>
  <c r="Q60" i="14"/>
  <c r="Q61" i="14"/>
  <c r="T61" i="14" s="1"/>
  <c r="U61" i="14" s="1"/>
  <c r="V61" i="14" s="1"/>
  <c r="G64" i="14"/>
  <c r="N68" i="14"/>
  <c r="Q68" i="14"/>
  <c r="Q69" i="14"/>
  <c r="Q70" i="14"/>
  <c r="O79" i="14"/>
  <c r="Q80" i="14"/>
  <c r="Q81" i="14"/>
  <c r="T83" i="14"/>
  <c r="U83" i="14" s="1"/>
  <c r="V83" i="14" s="1"/>
  <c r="O84" i="14"/>
  <c r="T84" i="14" s="1"/>
  <c r="U84" i="14" s="1"/>
  <c r="V84" i="14" s="1"/>
  <c r="T85" i="14"/>
  <c r="U85" i="14" s="1"/>
  <c r="V85" i="14" s="1"/>
  <c r="G86" i="14"/>
  <c r="Q86" i="14" s="1"/>
  <c r="Q90" i="14"/>
  <c r="M95" i="14"/>
  <c r="N99" i="14"/>
  <c r="Q99" i="14"/>
  <c r="Q98" i="14" s="1"/>
  <c r="Q97" i="14" s="1"/>
  <c r="Q106" i="14"/>
  <c r="Q107" i="14"/>
  <c r="G110" i="14"/>
  <c r="Q110" i="14" s="1"/>
  <c r="N114" i="14"/>
  <c r="Q114" i="14"/>
  <c r="Q113" i="14" s="1"/>
  <c r="Q112" i="14" s="1"/>
  <c r="N27" i="14"/>
  <c r="N28" i="14"/>
  <c r="T28" i="14" s="1"/>
  <c r="Q39" i="14"/>
  <c r="T39" i="14" s="1"/>
  <c r="U39" i="14" s="1"/>
  <c r="V39" i="14" s="1"/>
  <c r="Q51" i="14"/>
  <c r="O67" i="14"/>
  <c r="O66" i="14" s="1"/>
  <c r="N79" i="14"/>
  <c r="T91" i="14"/>
  <c r="U91" i="14" s="1"/>
  <c r="V91" i="14" s="1"/>
  <c r="T92" i="14"/>
  <c r="U92" i="14" s="1"/>
  <c r="V92" i="14" s="1"/>
  <c r="T100" i="14"/>
  <c r="U100" i="14" s="1"/>
  <c r="O113" i="14"/>
  <c r="O112" i="14" s="1"/>
  <c r="P148" i="4" l="1"/>
  <c r="R46" i="4"/>
  <c r="O208" i="4"/>
  <c r="O203" i="4"/>
  <c r="N203" i="4" s="1"/>
  <c r="T101" i="14"/>
  <c r="U101" i="14" s="1"/>
  <c r="V101" i="14" s="1"/>
  <c r="T95" i="14"/>
  <c r="U95" i="14" s="1"/>
  <c r="V95" i="14" s="1"/>
  <c r="T106" i="14"/>
  <c r="U106" i="14" s="1"/>
  <c r="V106" i="14" s="1"/>
  <c r="Q58" i="14"/>
  <c r="Q104" i="14"/>
  <c r="Q103" i="14" s="1"/>
  <c r="X103" i="14" s="1"/>
  <c r="Y103" i="14" s="1"/>
  <c r="O25" i="14"/>
  <c r="Q78" i="14"/>
  <c r="Q77" i="14" s="1"/>
  <c r="Q14" i="14"/>
  <c r="T60" i="14"/>
  <c r="U60" i="14" s="1"/>
  <c r="V60" i="14" s="1"/>
  <c r="O44" i="14"/>
  <c r="T44" i="14" s="1"/>
  <c r="U44" i="14" s="1"/>
  <c r="V44" i="14" s="1"/>
  <c r="N25" i="14"/>
  <c r="N24" i="14" s="1"/>
  <c r="Q13" i="14"/>
  <c r="T99" i="14"/>
  <c r="U99" i="14" s="1"/>
  <c r="V99" i="14" s="1"/>
  <c r="O36" i="14"/>
  <c r="O35" i="14" s="1"/>
  <c r="O89" i="14"/>
  <c r="O88" i="14" s="1"/>
  <c r="Q89" i="14"/>
  <c r="Q88" i="14" s="1"/>
  <c r="M64" i="14"/>
  <c r="Q64" i="14"/>
  <c r="M33" i="14"/>
  <c r="Q33" i="14"/>
  <c r="Q67" i="14"/>
  <c r="Q47" i="14"/>
  <c r="Q36" i="14"/>
  <c r="Q25" i="14"/>
  <c r="N14" i="14"/>
  <c r="O24" i="14"/>
  <c r="M75" i="14"/>
  <c r="Q75" i="14"/>
  <c r="T18" i="14"/>
  <c r="U18" i="14" s="1"/>
  <c r="V18" i="14" s="1"/>
  <c r="U119" i="14"/>
  <c r="V119" i="14" s="1"/>
  <c r="V100" i="14"/>
  <c r="V98" i="14" s="1"/>
  <c r="V97" i="14" s="1"/>
  <c r="T193" i="4"/>
  <c r="U193" i="4" s="1"/>
  <c r="T167" i="4"/>
  <c r="U167" i="4" s="1"/>
  <c r="T158" i="4"/>
  <c r="U158" i="4" s="1"/>
  <c r="T89" i="4"/>
  <c r="U89" i="4" s="1"/>
  <c r="U65" i="4"/>
  <c r="T123" i="4"/>
  <c r="U123" i="4" s="1"/>
  <c r="T35" i="4"/>
  <c r="U35" i="4" s="1"/>
  <c r="T29" i="4"/>
  <c r="U29" i="4" s="1"/>
  <c r="U30" i="4" s="1"/>
  <c r="V16" i="14"/>
  <c r="N96" i="4"/>
  <c r="T107" i="14"/>
  <c r="U107" i="14" s="1"/>
  <c r="V107" i="14" s="1"/>
  <c r="T81" i="14"/>
  <c r="U81" i="14" s="1"/>
  <c r="V81" i="14" s="1"/>
  <c r="T80" i="14"/>
  <c r="U80" i="14" s="1"/>
  <c r="Q57" i="14"/>
  <c r="AB57" i="14" s="1"/>
  <c r="T51" i="14"/>
  <c r="U51" i="14" s="1"/>
  <c r="V51" i="14" s="1"/>
  <c r="T50" i="14"/>
  <c r="U50" i="14" s="1"/>
  <c r="V50" i="14" s="1"/>
  <c r="T49" i="14"/>
  <c r="U49" i="14" s="1"/>
  <c r="V49" i="14" s="1"/>
  <c r="O169" i="4"/>
  <c r="N161" i="4"/>
  <c r="T161" i="4" s="1"/>
  <c r="M351" i="4"/>
  <c r="P351" i="4" s="1"/>
  <c r="M350" i="4"/>
  <c r="P350" i="4" s="1"/>
  <c r="M349" i="4"/>
  <c r="P349" i="4" s="1"/>
  <c r="M348" i="4"/>
  <c r="P348" i="4" s="1"/>
  <c r="M347" i="4"/>
  <c r="P347" i="4" s="1"/>
  <c r="M346" i="4"/>
  <c r="P346" i="4" s="1"/>
  <c r="L322" i="4"/>
  <c r="O322" i="4" s="1"/>
  <c r="L321" i="4"/>
  <c r="O321" i="4" s="1"/>
  <c r="L320" i="4"/>
  <c r="O320" i="4" s="1"/>
  <c r="L319" i="4"/>
  <c r="O319" i="4" s="1"/>
  <c r="L318" i="4"/>
  <c r="O318" i="4" s="1"/>
  <c r="N210" i="4"/>
  <c r="T210" i="4" s="1"/>
  <c r="U210" i="4" s="1"/>
  <c r="T209" i="4"/>
  <c r="U209" i="4" s="1"/>
  <c r="U196" i="4"/>
  <c r="T203" i="4"/>
  <c r="U203" i="4" s="1"/>
  <c r="V187" i="4"/>
  <c r="O140" i="4"/>
  <c r="N134" i="4"/>
  <c r="T134" i="4" s="1"/>
  <c r="O138" i="4"/>
  <c r="O36" i="4"/>
  <c r="N31" i="4"/>
  <c r="T31" i="4" s="1"/>
  <c r="N81" i="4"/>
  <c r="T81" i="4" s="1"/>
  <c r="O90" i="4"/>
  <c r="N24" i="4"/>
  <c r="N30" i="4" s="1"/>
  <c r="O30" i="4"/>
  <c r="O46" i="4" s="1"/>
  <c r="N12" i="4"/>
  <c r="T12" i="4" s="1"/>
  <c r="N178" i="4"/>
  <c r="T176" i="4"/>
  <c r="N72" i="4"/>
  <c r="T72" i="4" s="1"/>
  <c r="U72" i="4" s="1"/>
  <c r="T71" i="4"/>
  <c r="U71" i="4" s="1"/>
  <c r="N38" i="4"/>
  <c r="T37" i="4"/>
  <c r="P169" i="4"/>
  <c r="P186" i="4" s="1"/>
  <c r="R186" i="4"/>
  <c r="R219" i="4" s="1"/>
  <c r="N132" i="4"/>
  <c r="R148" i="4"/>
  <c r="W148" i="4" s="1"/>
  <c r="X148" i="4" s="1"/>
  <c r="O292" i="4"/>
  <c r="O294" i="4"/>
  <c r="O296" i="4"/>
  <c r="O195" i="4"/>
  <c r="R56" i="4"/>
  <c r="R80" i="4" s="1"/>
  <c r="P36" i="4"/>
  <c r="P46" i="4" s="1"/>
  <c r="P113" i="4"/>
  <c r="T30" i="4"/>
  <c r="O175" i="4"/>
  <c r="N170" i="4"/>
  <c r="T170" i="4" s="1"/>
  <c r="O133" i="4"/>
  <c r="N125" i="4"/>
  <c r="T125" i="4" s="1"/>
  <c r="N337" i="4"/>
  <c r="Q337" i="4" s="1"/>
  <c r="N336" i="4"/>
  <c r="Q336" i="4" s="1"/>
  <c r="N335" i="4"/>
  <c r="Q335" i="4" s="1"/>
  <c r="N334" i="4"/>
  <c r="Q334" i="4" s="1"/>
  <c r="N333" i="4"/>
  <c r="Q333" i="4" s="1"/>
  <c r="N332" i="4"/>
  <c r="Q332" i="4" s="1"/>
  <c r="N331" i="4"/>
  <c r="Q331" i="4" s="1"/>
  <c r="L309" i="4"/>
  <c r="O309" i="4" s="1"/>
  <c r="L308" i="4"/>
  <c r="O308" i="4" s="1"/>
  <c r="L307" i="4"/>
  <c r="O307" i="4" s="1"/>
  <c r="L306" i="4"/>
  <c r="O306" i="4" s="1"/>
  <c r="L305" i="4"/>
  <c r="O305" i="4" s="1"/>
  <c r="L281" i="4"/>
  <c r="O281" i="4" s="1"/>
  <c r="L280" i="4"/>
  <c r="O280" i="4" s="1"/>
  <c r="L279" i="4"/>
  <c r="O279" i="4" s="1"/>
  <c r="L278" i="4"/>
  <c r="O278" i="4" s="1"/>
  <c r="L277" i="4"/>
  <c r="O277" i="4" s="1"/>
  <c r="L276" i="4"/>
  <c r="O276" i="4" s="1"/>
  <c r="T208" i="4"/>
  <c r="U204" i="4"/>
  <c r="U208" i="4" s="1"/>
  <c r="X176" i="4"/>
  <c r="G186" i="4"/>
  <c r="Y177" i="4" s="1"/>
  <c r="N149" i="4"/>
  <c r="T149" i="4" s="1"/>
  <c r="O160" i="4"/>
  <c r="O124" i="4"/>
  <c r="O148" i="4" s="1"/>
  <c r="N114" i="4"/>
  <c r="T114" i="4" s="1"/>
  <c r="O97" i="4"/>
  <c r="N91" i="4"/>
  <c r="O70" i="4"/>
  <c r="N66" i="4"/>
  <c r="T66" i="4" s="1"/>
  <c r="O103" i="4"/>
  <c r="N98" i="4"/>
  <c r="T98" i="4" s="1"/>
  <c r="N57" i="4"/>
  <c r="N65" i="4" s="1"/>
  <c r="O65" i="4"/>
  <c r="O56" i="4"/>
  <c r="O80" i="4" s="1"/>
  <c r="N47" i="4"/>
  <c r="T47" i="4" s="1"/>
  <c r="W23" i="4"/>
  <c r="W46" i="4"/>
  <c r="N171" i="4"/>
  <c r="N162" i="4"/>
  <c r="P80" i="4"/>
  <c r="O295" i="4"/>
  <c r="R113" i="4"/>
  <c r="N55" i="4"/>
  <c r="G46" i="4"/>
  <c r="X57" i="14"/>
  <c r="Y57" i="14" s="1"/>
  <c r="T79" i="14"/>
  <c r="N78" i="14"/>
  <c r="T59" i="14"/>
  <c r="N58" i="14"/>
  <c r="N57" i="14" s="1"/>
  <c r="N110" i="14"/>
  <c r="N104" i="14" s="1"/>
  <c r="N103" i="14" s="1"/>
  <c r="M110" i="14"/>
  <c r="O110" i="14"/>
  <c r="T98" i="14"/>
  <c r="N98" i="14"/>
  <c r="N97" i="14" s="1"/>
  <c r="N86" i="14"/>
  <c r="T86" i="14" s="1"/>
  <c r="U86" i="14" s="1"/>
  <c r="M86" i="14"/>
  <c r="T48" i="14"/>
  <c r="N47" i="14"/>
  <c r="N46" i="14" s="1"/>
  <c r="T37" i="14"/>
  <c r="U37" i="14" s="1"/>
  <c r="N36" i="14"/>
  <c r="N35" i="14" s="1"/>
  <c r="T26" i="14"/>
  <c r="T15" i="14"/>
  <c r="T14" i="14" s="1"/>
  <c r="N13" i="14"/>
  <c r="AB13" i="14"/>
  <c r="AC13" i="14" s="1"/>
  <c r="X13" i="14"/>
  <c r="Y13" i="14" s="1"/>
  <c r="T105" i="14"/>
  <c r="T114" i="14"/>
  <c r="U114" i="14" s="1"/>
  <c r="V114" i="14" s="1"/>
  <c r="N113" i="14"/>
  <c r="N112" i="14" s="1"/>
  <c r="AB97" i="14"/>
  <c r="AC97" i="14" s="1"/>
  <c r="X97" i="14"/>
  <c r="Y97" i="14" s="1"/>
  <c r="T90" i="14"/>
  <c r="N89" i="14"/>
  <c r="N88" i="14" s="1"/>
  <c r="T68" i="14"/>
  <c r="U68" i="14" s="1"/>
  <c r="N67" i="14"/>
  <c r="N66" i="14" s="1"/>
  <c r="Q66" i="14"/>
  <c r="O98" i="14"/>
  <c r="O97" i="14" s="1"/>
  <c r="T82" i="14"/>
  <c r="U82" i="14" s="1"/>
  <c r="V82" i="14" s="1"/>
  <c r="T38" i="14"/>
  <c r="U38" i="14" s="1"/>
  <c r="V38" i="14" s="1"/>
  <c r="T27" i="14"/>
  <c r="T115" i="14"/>
  <c r="U115" i="14" s="1"/>
  <c r="O104" i="14"/>
  <c r="O103" i="14" s="1"/>
  <c r="O78" i="14"/>
  <c r="O77" i="14" s="1"/>
  <c r="T70" i="14"/>
  <c r="T69" i="14"/>
  <c r="U69" i="14" s="1"/>
  <c r="V69" i="14" s="1"/>
  <c r="Q46" i="14"/>
  <c r="T30" i="14"/>
  <c r="U30" i="14" s="1"/>
  <c r="V30" i="14" s="1"/>
  <c r="Q24" i="14"/>
  <c r="T55" i="14"/>
  <c r="U55" i="14" s="1"/>
  <c r="V55" i="14" s="1"/>
  <c r="P219" i="4" l="1"/>
  <c r="Z177" i="4"/>
  <c r="Z178" i="4" s="1"/>
  <c r="U96" i="4"/>
  <c r="T96" i="4"/>
  <c r="T75" i="14"/>
  <c r="U75" i="14" s="1"/>
  <c r="V75" i="14" s="1"/>
  <c r="T33" i="14"/>
  <c r="U33" i="14" s="1"/>
  <c r="T64" i="14"/>
  <c r="U64" i="14" s="1"/>
  <c r="V64" i="14" s="1"/>
  <c r="Q35" i="14"/>
  <c r="Q121" i="14" s="1"/>
  <c r="AB103" i="14"/>
  <c r="AC103" i="14" s="1"/>
  <c r="U14" i="14"/>
  <c r="U13" i="14" s="1"/>
  <c r="AB88" i="14"/>
  <c r="AC88" i="14" s="1"/>
  <c r="X88" i="14"/>
  <c r="Y88" i="14" s="1"/>
  <c r="X77" i="14"/>
  <c r="Y77" i="14" s="1"/>
  <c r="AB77" i="14"/>
  <c r="AC77" i="14" s="1"/>
  <c r="V33" i="14"/>
  <c r="O121" i="14"/>
  <c r="V14" i="14"/>
  <c r="V13" i="14" s="1"/>
  <c r="U98" i="14"/>
  <c r="U97" i="14" s="1"/>
  <c r="V68" i="14"/>
  <c r="T89" i="14"/>
  <c r="U90" i="14"/>
  <c r="T104" i="14"/>
  <c r="U105" i="14"/>
  <c r="V37" i="14"/>
  <c r="V36" i="14" s="1"/>
  <c r="V35" i="14" s="1"/>
  <c r="U36" i="14"/>
  <c r="U35" i="14" s="1"/>
  <c r="X37" i="14" s="1"/>
  <c r="T47" i="14"/>
  <c r="U48" i="14"/>
  <c r="U70" i="14"/>
  <c r="V70" i="14" s="1"/>
  <c r="T58" i="14"/>
  <c r="U59" i="14"/>
  <c r="U78" i="14"/>
  <c r="V80" i="14"/>
  <c r="V78" i="14" s="1"/>
  <c r="V115" i="14"/>
  <c r="V113" i="14" s="1"/>
  <c r="V112" i="14" s="1"/>
  <c r="U113" i="14"/>
  <c r="U112" i="14" s="1"/>
  <c r="X114" i="14" s="1"/>
  <c r="T97" i="14"/>
  <c r="U26" i="14"/>
  <c r="T25" i="14"/>
  <c r="T195" i="4"/>
  <c r="T171" i="4"/>
  <c r="U171" i="4" s="1"/>
  <c r="T162" i="4"/>
  <c r="U162" i="4" s="1"/>
  <c r="W80" i="4"/>
  <c r="X80" i="4" s="1"/>
  <c r="N97" i="4"/>
  <c r="T91" i="4"/>
  <c r="T132" i="4"/>
  <c r="U132" i="4" s="1"/>
  <c r="T13" i="14"/>
  <c r="W113" i="4"/>
  <c r="X113" i="4" s="1"/>
  <c r="O186" i="4"/>
  <c r="N186" i="4" s="1"/>
  <c r="N148" i="4"/>
  <c r="N56" i="4"/>
  <c r="N103" i="4"/>
  <c r="N70" i="4"/>
  <c r="N124" i="4"/>
  <c r="N133" i="4"/>
  <c r="N175" i="4"/>
  <c r="O218" i="4"/>
  <c r="N195" i="4"/>
  <c r="W186" i="4"/>
  <c r="X186" i="4" s="1"/>
  <c r="N23" i="4"/>
  <c r="N90" i="4"/>
  <c r="N138" i="4"/>
  <c r="N140" i="4"/>
  <c r="T140" i="4" s="1"/>
  <c r="U140" i="4" s="1"/>
  <c r="T139" i="4"/>
  <c r="U139" i="4" s="1"/>
  <c r="N169" i="4"/>
  <c r="X46" i="4"/>
  <c r="N160" i="4"/>
  <c r="T38" i="4"/>
  <c r="U37" i="4"/>
  <c r="U38" i="4" s="1"/>
  <c r="U176" i="4"/>
  <c r="T178" i="4"/>
  <c r="U178" i="4" s="1"/>
  <c r="N36" i="4"/>
  <c r="U187" i="4"/>
  <c r="U195" i="4" s="1"/>
  <c r="U218" i="4" s="1"/>
  <c r="N80" i="4"/>
  <c r="N46" i="4"/>
  <c r="O113" i="4"/>
  <c r="N113" i="4" s="1"/>
  <c r="X15" i="14"/>
  <c r="AA12" i="14"/>
  <c r="AB24" i="14"/>
  <c r="AC24" i="14" s="1"/>
  <c r="X24" i="14"/>
  <c r="Y24" i="14" s="1"/>
  <c r="AB35" i="14"/>
  <c r="AC35" i="14" s="1"/>
  <c r="X35" i="14"/>
  <c r="Y35" i="14" s="1"/>
  <c r="AB66" i="14"/>
  <c r="AC66" i="14" s="1"/>
  <c r="X66" i="14"/>
  <c r="Y66" i="14" s="1"/>
  <c r="V86" i="14"/>
  <c r="V77" i="14" s="1"/>
  <c r="U77" i="14"/>
  <c r="AB46" i="14"/>
  <c r="AC46" i="14" s="1"/>
  <c r="X46" i="14"/>
  <c r="Y46" i="14" s="1"/>
  <c r="AB112" i="14"/>
  <c r="AC112" i="14" s="1"/>
  <c r="X112" i="14"/>
  <c r="Y112" i="14" s="1"/>
  <c r="T36" i="14"/>
  <c r="N77" i="14"/>
  <c r="T67" i="14"/>
  <c r="T113" i="14"/>
  <c r="T110" i="14"/>
  <c r="U110" i="14" s="1"/>
  <c r="T78" i="14"/>
  <c r="T35" i="14" l="1"/>
  <c r="T77" i="14"/>
  <c r="N121" i="14"/>
  <c r="T24" i="14"/>
  <c r="T57" i="14"/>
  <c r="T66" i="14"/>
  <c r="T46" i="14"/>
  <c r="T88" i="14"/>
  <c r="AB98" i="14"/>
  <c r="X99" i="14"/>
  <c r="AB36" i="14"/>
  <c r="W70" i="14"/>
  <c r="V67" i="14"/>
  <c r="V66" i="14" s="1"/>
  <c r="U58" i="14"/>
  <c r="U57" i="14" s="1"/>
  <c r="V59" i="14"/>
  <c r="V58" i="14" s="1"/>
  <c r="V57" i="14" s="1"/>
  <c r="U47" i="14"/>
  <c r="U46" i="14" s="1"/>
  <c r="V48" i="14"/>
  <c r="V47" i="14" s="1"/>
  <c r="V46" i="14" s="1"/>
  <c r="U104" i="14"/>
  <c r="U103" i="14" s="1"/>
  <c r="V105" i="14"/>
  <c r="V104" i="14" s="1"/>
  <c r="U89" i="14"/>
  <c r="U88" i="14" s="1"/>
  <c r="V90" i="14"/>
  <c r="V89" i="14" s="1"/>
  <c r="V88" i="14" s="1"/>
  <c r="U67" i="14"/>
  <c r="U66" i="14" s="1"/>
  <c r="T112" i="14"/>
  <c r="AB113" i="14"/>
  <c r="U25" i="14"/>
  <c r="U24" i="14" s="1"/>
  <c r="V26" i="14"/>
  <c r="V25" i="14" s="1"/>
  <c r="V24" i="14" s="1"/>
  <c r="N218" i="4"/>
  <c r="N219" i="4" s="1"/>
  <c r="O219" i="4"/>
  <c r="T103" i="4"/>
  <c r="U98" i="4"/>
  <c r="U103" i="4" s="1"/>
  <c r="T56" i="4"/>
  <c r="U47" i="4"/>
  <c r="U56" i="4" s="1"/>
  <c r="V141" i="4"/>
  <c r="T36" i="4"/>
  <c r="U31" i="4"/>
  <c r="U36" i="4" s="1"/>
  <c r="T160" i="4"/>
  <c r="U149" i="4"/>
  <c r="U160" i="4" s="1"/>
  <c r="W175" i="4"/>
  <c r="T169" i="4"/>
  <c r="U161" i="4"/>
  <c r="U169" i="4" s="1"/>
  <c r="T138" i="4"/>
  <c r="U134" i="4"/>
  <c r="U138" i="4" s="1"/>
  <c r="T90" i="4"/>
  <c r="U81" i="4"/>
  <c r="T23" i="4"/>
  <c r="U12" i="4"/>
  <c r="U23" i="4" s="1"/>
  <c r="U46" i="4" s="1"/>
  <c r="T175" i="4"/>
  <c r="U170" i="4"/>
  <c r="U175" i="4" s="1"/>
  <c r="U125" i="4"/>
  <c r="U133" i="4" s="1"/>
  <c r="T133" i="4"/>
  <c r="T124" i="4"/>
  <c r="U114" i="4"/>
  <c r="U91" i="4"/>
  <c r="U97" i="4" s="1"/>
  <c r="T97" i="4"/>
  <c r="U66" i="4"/>
  <c r="U70" i="4" s="1"/>
  <c r="T70" i="4"/>
  <c r="V110" i="14"/>
  <c r="X48" i="14"/>
  <c r="AB47" i="14"/>
  <c r="AB78" i="14"/>
  <c r="X80" i="14"/>
  <c r="T103" i="14"/>
  <c r="V103" i="14" l="1"/>
  <c r="T121" i="14"/>
  <c r="X68" i="14"/>
  <c r="AB67" i="14"/>
  <c r="V121" i="14"/>
  <c r="AB89" i="14"/>
  <c r="X90" i="14"/>
  <c r="X59" i="14"/>
  <c r="AB58" i="14"/>
  <c r="AB20" i="14"/>
  <c r="X26" i="14"/>
  <c r="U121" i="14"/>
  <c r="T46" i="4"/>
  <c r="T148" i="4"/>
  <c r="W140" i="4" s="1"/>
  <c r="U124" i="4"/>
  <c r="U148" i="4" s="1"/>
  <c r="T113" i="4"/>
  <c r="W103" i="4" s="1"/>
  <c r="U90" i="4"/>
  <c r="U113" i="4" s="1"/>
  <c r="T186" i="4"/>
  <c r="T80" i="4"/>
  <c r="W69" i="4" s="1"/>
  <c r="U186" i="4"/>
  <c r="U80" i="4"/>
  <c r="AB104" i="14"/>
  <c r="X106" i="14"/>
  <c r="U219" i="4" l="1"/>
  <c r="W34" i="4"/>
  <c r="W176" i="4"/>
  <c r="W177" i="4" s="1"/>
  <c r="Z186" i="4"/>
  <c r="I27" i="11"/>
  <c r="H18" i="11"/>
  <c r="E24" i="11" l="1"/>
  <c r="F24" i="11"/>
  <c r="G24" i="11"/>
  <c r="H24" i="11"/>
  <c r="D24" i="11"/>
  <c r="T24" i="11" s="1"/>
  <c r="J23" i="11"/>
  <c r="J22" i="11"/>
  <c r="J21" i="11"/>
  <c r="J19" i="11"/>
  <c r="J17" i="11" l="1"/>
  <c r="I64" i="11" l="1"/>
  <c r="I65" i="11"/>
  <c r="I66" i="11"/>
  <c r="I67" i="11"/>
  <c r="I68" i="11"/>
  <c r="I69" i="11"/>
  <c r="I70" i="11" l="1"/>
  <c r="K63" i="11" l="1"/>
  <c r="J63" i="11"/>
  <c r="K65" i="11" l="1"/>
  <c r="K67" i="11"/>
  <c r="K69" i="11"/>
  <c r="K64" i="11"/>
  <c r="K66" i="11"/>
  <c r="K68" i="11"/>
  <c r="J64" i="11"/>
  <c r="J66" i="11"/>
  <c r="J68" i="11"/>
  <c r="J67" i="11"/>
  <c r="J69" i="11"/>
  <c r="J65" i="11"/>
  <c r="J70" i="11" l="1"/>
  <c r="K70" i="11"/>
  <c r="K31" i="11" l="1"/>
  <c r="H31" i="11"/>
  <c r="G31" i="11"/>
  <c r="F31" i="11"/>
  <c r="E31" i="11"/>
  <c r="D31" i="11"/>
  <c r="H30" i="11"/>
  <c r="G30" i="11"/>
  <c r="F30" i="11"/>
  <c r="E30" i="11"/>
  <c r="D30" i="11"/>
  <c r="H28" i="11"/>
  <c r="G28" i="11"/>
  <c r="F28" i="11"/>
  <c r="E28" i="11"/>
  <c r="D28" i="11"/>
  <c r="H27" i="11"/>
  <c r="G27" i="11"/>
  <c r="F27" i="11"/>
  <c r="E27" i="11"/>
  <c r="D27" i="11"/>
  <c r="J26" i="11"/>
  <c r="K26" i="11" s="1"/>
  <c r="L26" i="11" s="1"/>
  <c r="J25" i="11"/>
  <c r="F17" i="11"/>
  <c r="E17" i="11"/>
  <c r="D17" i="11"/>
  <c r="N16" i="11"/>
  <c r="G16" i="11"/>
  <c r="K16" i="11" s="1"/>
  <c r="G15" i="11"/>
  <c r="K15" i="11" s="1"/>
  <c r="G14" i="11"/>
  <c r="K14" i="11" s="1"/>
  <c r="G12" i="11"/>
  <c r="K12" i="11" s="1"/>
  <c r="H16" i="11" l="1"/>
  <c r="L16" i="11" s="1"/>
  <c r="H15" i="11"/>
  <c r="L15" i="11" s="1"/>
  <c r="H14" i="11"/>
  <c r="L14" i="11" s="1"/>
  <c r="H12" i="11"/>
  <c r="L12" i="11" s="1"/>
  <c r="L31" i="11"/>
  <c r="G17" i="11"/>
  <c r="J27" i="11"/>
  <c r="X17" i="11" s="1"/>
  <c r="Y17" i="11" s="1"/>
  <c r="Z17" i="11" s="1"/>
  <c r="H17" i="11" l="1"/>
  <c r="K17" i="11"/>
  <c r="M14" i="11"/>
  <c r="N14" i="11" s="1"/>
  <c r="L17" i="11"/>
  <c r="M12" i="11"/>
  <c r="N12" i="11" s="1"/>
  <c r="K27" i="11"/>
  <c r="L25" i="11"/>
  <c r="L27" i="11" s="1"/>
  <c r="Q22" i="3" l="1"/>
  <c r="U241" i="3" l="1"/>
  <c r="T241" i="3"/>
  <c r="N22" i="3" l="1"/>
  <c r="U255" i="3" l="1"/>
  <c r="T255" i="3"/>
  <c r="T259" i="3" s="1"/>
  <c r="Q255" i="3"/>
  <c r="Q259" i="3" s="1"/>
  <c r="U248" i="3"/>
  <c r="T248" i="3"/>
  <c r="Q248" i="3"/>
  <c r="U247" i="3"/>
  <c r="T247" i="3"/>
  <c r="Q247" i="3"/>
  <c r="U242" i="3" l="1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Q14" i="3" l="1"/>
  <c r="N14" i="3"/>
  <c r="G257" i="3"/>
  <c r="U257" i="3" s="1"/>
  <c r="J268" i="3"/>
  <c r="J267" i="3"/>
  <c r="V257" i="3" l="1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52" i="3" l="1"/>
  <c r="O244" i="3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88" i="3" l="1"/>
  <c r="S89" i="3"/>
  <c r="S90" i="3" s="1"/>
  <c r="Q46" i="3"/>
  <c r="S47" i="3"/>
  <c r="S48" i="3" s="1"/>
  <c r="Q61" i="3"/>
  <c r="S62" i="3"/>
  <c r="S63" i="3" s="1"/>
  <c r="Q95" i="3"/>
  <c r="S96" i="3"/>
  <c r="S97" i="3" s="1"/>
  <c r="Q102" i="3"/>
  <c r="S103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T38" i="3" l="1"/>
  <c r="Q91" i="3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N182" i="1" s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L132" i="1" s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M181" i="1"/>
  <c r="L183" i="1"/>
  <c r="N197" i="1"/>
  <c r="P186" i="1"/>
  <c r="M191" i="1"/>
  <c r="O191" i="1"/>
  <c r="P190" i="1"/>
  <c r="P191" i="1" s="1"/>
  <c r="L196" i="1"/>
  <c r="P104" i="1"/>
  <c r="P107" i="1" s="1"/>
  <c r="P115" i="1" s="1"/>
  <c r="O147" i="1"/>
  <c r="L139" i="1"/>
  <c r="L129" i="1"/>
  <c r="L130" i="1" s="1"/>
  <c r="M130" i="1"/>
  <c r="L108" i="1"/>
  <c r="L111" i="1" s="1"/>
  <c r="M114" i="1"/>
  <c r="L112" i="1"/>
  <c r="L114" i="1" s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3" i="1" s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L179" i="1"/>
  <c r="L181" i="1" s="1"/>
  <c r="Q104" i="3" l="1"/>
  <c r="M197" i="1"/>
  <c r="O197" i="1"/>
  <c r="O182" i="1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M15" i="11" l="1"/>
  <c r="N15" i="11" s="1"/>
  <c r="M11" i="11"/>
  <c r="N11" i="11" s="1"/>
  <c r="N17" i="11" l="1"/>
  <c r="O17" i="11" s="1"/>
  <c r="T218" i="4" l="1"/>
  <c r="W209" i="4" l="1"/>
  <c r="T219" i="4"/>
  <c r="I24" i="11"/>
  <c r="L18" i="11"/>
  <c r="L24" i="11" s="1"/>
  <c r="L32" i="11" s="1"/>
  <c r="J18" i="11"/>
  <c r="J24" i="11" s="1"/>
  <c r="J32" i="11" s="1"/>
  <c r="K18" i="11"/>
  <c r="K24" i="11"/>
  <c r="K32" i="11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<sst xmlns="http://schemas.openxmlformats.org/spreadsheetml/2006/main" count="3841" uniqueCount="364">
  <si>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</si>
  <si>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</si>
  <si>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</si>
  <si>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</si>
  <si>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</si>
  <si>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</si>
  <si>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</si>
  <si>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</si>
  <si>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</si>
  <si>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</si>
  <si>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</si>
  <si>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</si>
  <si>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</si>
  <si>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</si>
  <si>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</si>
  <si>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</si>
  <si>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</si>
  <si>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</si>
  <si>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</si>
  <si>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</si>
  <si>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</si>
  <si>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</si>
  <si>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</si>
  <si>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</si>
  <si>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</si>
  <si>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</si>
  <si>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</si>
  <si>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</si>
  <si>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</si>
  <si>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</si>
  <si>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</si>
  <si>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</si>
  <si>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</si>
  <si>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</si>
  <si>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</si>
  <si>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</si>
  <si>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</si>
  <si>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</si>
  <si>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</si>
  <si>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</si>
  <si>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</si>
  <si>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</si>
  <si>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</si>
  <si>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</si>
  <si>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</si>
  <si>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</si>
  <si>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</si>
  <si>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</si>
  <si>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</si>
  <si>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</si>
  <si>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</si>
  <si>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</si>
  <si>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</si>
  <si>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</si>
  <si>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</si>
  <si>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</si>
  <si>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</si>
  <si>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</si>
  <si>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</si>
  <si>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</si>
  <si>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</si>
  <si>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</si>
  <si>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</si>
  <si>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</si>
  <si>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</si>
  <si>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</si>
  <si>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</si>
  <si>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</si>
  <si>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</si>
  <si>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</si>
  <si>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</si>
  <si>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</si>
  <si>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</si>
  <si>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</si>
  <si>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</si>
  <si>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</si>
  <si>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</si>
  <si>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</si>
  <si>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</si>
  <si>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</si>
  <si>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</si>
  <si>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</si>
  <si>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</si>
  <si>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</si>
  <si>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</si>
  <si>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</si>
  <si>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</si>
  <si>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</si>
  <si>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</si>
  <si>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</si>
  <si>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</si>
  <si>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</si>
  <si>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</si>
  <si>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</si>
  <si>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</si>
  <si>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</si>
  <si>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</si>
  <si>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</si>
  <si>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</si>
  <si>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</si>
  <si>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</si>
  <si>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</si>
  <si>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</si>
  <si>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</si>
  <si>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</si>
  <si>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</si>
  <si>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</si>
  <si>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</si>
  <si>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</si>
  <si>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</si>
  <si>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</si>
  <si>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</si>
  <si>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</si>
  <si>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</si>
  <si>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</si>
  <si>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</si>
  <si>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</si>
  <si>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</si>
  <si>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</si>
  <si>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</si>
  <si>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</si>
  <si>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</si>
  <si>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</si>
  <si>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</si>
  <si>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</si>
  <si>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</si>
  <si>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</si>
  <si>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</si>
  <si>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</si>
  <si>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</si>
  <si>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</si>
  <si>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</si>
  <si>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</si>
  <si>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</si>
  <si>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</si>
  <si>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</si>
  <si>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</si>
  <si>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</si>
  <si>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</si>
  <si>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</si>
  <si>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</si>
  <si>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</si>
  <si>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</si>
  <si>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</si>
  <si>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</si>
  <si>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</si>
  <si>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</si>
  <si>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</si>
  <si>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</si>
  <si>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</si>
  <si>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</si>
  <si>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</si>
  <si>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</si>
  <si>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</si>
  <si>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</si>
  <si>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</si>
  <si>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</si>
  <si>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</si>
  <si>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</si>
  <si>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</si>
  <si>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</si>
  <si>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</si>
  <si>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</si>
  <si>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</si>
  <si>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</si>
  <si>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</si>
  <si>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</si>
  <si>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</si>
  <si>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</si>
  <si>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</si>
  <si>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</si>
  <si>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</si>
  <si>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</si>
  <si>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</si>
  <si>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</si>
  <si>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</si>
  <si>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</si>
  <si>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</si>
  <si>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</si>
  <si>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</si>
  <si>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</si>
  <si>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</si>
  <si>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</si>
  <si>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</si>
  <si>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</si>
  <si>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</si>
  <si>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</si>
  <si>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</si>
  <si>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</si>
  <si>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</si>
  <si>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</si>
  <si>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</si>
  <si>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</si>
  <si>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</si>
  <si>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</si>
  <si>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</si>
  <si>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</si>
  <si>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</si>
  <si>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</si>
  <si>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</si>
  <si>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</si>
  <si>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</si>
  <si>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</si>
  <si>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</si>
  <si>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</si>
  <si>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</si>
  <si>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</si>
  <si>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</si>
  <si>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</si>
  <si>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</si>
  <si>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</si>
  <si>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</si>
  <si>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</si>
  <si>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</si>
  <si>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</si>
  <si>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</si>
  <si>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</si>
  <si>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</si>
  <si>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</si>
  <si>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</si>
  <si>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</si>
  <si>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</si>
  <si>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</si>
  <si>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</si>
  <si>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</si>
  <si>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</si>
  <si>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</si>
  <si>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</si>
  <si>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</si>
  <si>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</si>
  <si>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</si>
  <si>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</si>
  <si>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</si>
  <si>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</si>
  <si>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</si>
  <si>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</si>
  <si>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</si>
  <si>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</si>
  <si>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</si>
  <si>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</si>
  <si>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</si>
  <si>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</si>
  <si>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</si>
  <si>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</si>
  <si>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</si>
  <si>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</si>
  <si>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</si>
  <si>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</si>
  <si>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</si>
  <si>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</si>
  <si>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</si>
  <si>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</si>
  <si>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</si>
  <si>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</si>
  <si>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</si>
  <si>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</si>
  <si>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</si>
  <si>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</si>
  <si>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</si>
  <si>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</si>
  <si>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</si>
  <si>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</si>
  <si>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</si>
  <si>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</si>
  <si>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</si>
  <si>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</si>
  <si>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</si>
  <si>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</si>
  <si>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</si>
  <si>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</si>
  <si>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</si>
  <si>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</si>
  <si>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</si>
  <si>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</si>
  <si>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</si>
  <si>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</si>
  <si>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</si>
  <si>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</si>
  <si>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</si>
  <si>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</si>
  <si>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</si>
  <si>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</si>
  <si>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</si>
  <si>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</si>
  <si>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</si>
  <si>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</si>
  <si>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</si>
  <si>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</si>
  <si>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</si>
  <si>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</si>
  <si>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</si>
  <si>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</si>
  <si>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</si>
  <si>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</si>
  <si>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</si>
  <si>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</si>
  <si>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</si>
  <si>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</si>
  <si>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</si>
  <si>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</si>
  <si>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</si>
  <si>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</si>
  <si>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</si>
  <si>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</si>
  <si>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</si>
  <si>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</si>
  <si>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</si>
  <si>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</si>
  <si>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</si>
  <si>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</si>
  <si>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</si>
  <si>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</si>
  <si>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</si>
  <si>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</si>
  <si>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</si>
  <si>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</si>
  <si>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</si>
  <si>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</si>
  <si>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</si>
  <si>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</si>
  <si>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</si>
  <si>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</si>
  <si>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</si>
  <si>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</si>
  <si>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</si>
  <si>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</si>
  <si>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</si>
  <si>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</si>
  <si>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</si>
  <si>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</si>
  <si>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</si>
  <si>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</si>
  <si>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</si>
  <si>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</si>
  <si>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</si>
  <si>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</si>
  <si>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</si>
  <si>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</si>
  <si>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</si>
  <si>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</si>
  <si>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</si>
  <si>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</si>
  <si>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</si>
  <si>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</si>
  <si>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</si>
  <si>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</si>
  <si>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</si>
  <si>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</si>
  <si>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</si>
  <si>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</si>
  <si>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</si>
  <si>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</si>
  <si>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</si>
  <si>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</si>
  <si>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</si>
  <si>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</si>
  <si>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</si>
  <si>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</si>
  <si>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</si>
  <si>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к Приказу от 20.02.2021 г. № 23</t>
  </si>
  <si>
    <t>Нормативные затраты на оказание муницп-й услуги</t>
  </si>
  <si>
    <t>2021г.</t>
  </si>
  <si>
    <t>руб.</t>
  </si>
  <si>
    <t>Корректировка бюджета 17.02.2021г. (сумма)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</si>
</sst>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  <numFmt numFmtId="171" formatCode="#,##0.000"/>
    <numFmt numFmtId="172" formatCode="#,##0.000000"/>
    <numFmt numFmtId="173" formatCode="0.00000"/>
  </numFmts>
  <fonts count="29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3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5" borderId="4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72" fontId="16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9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171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2" fontId="16" fillId="0" borderId="3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/>
    <xf numFmtId="173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" fillId="0" borderId="4" xfId="0" applyNumberFormat="1" applyFont="1" applyFill="1" applyBorder="1" applyAlignment="1">
      <alignment vertical="center" wrapText="1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362" t="s">
        <v>1</v>
      </c>
      <c r="B3" s="362"/>
      <c r="C3" s="363"/>
      <c r="D3" s="362"/>
      <c r="E3" s="362"/>
      <c r="F3" s="362"/>
      <c r="G3" s="362"/>
      <c r="H3" s="362"/>
      <c r="I3" s="363"/>
      <c r="J3" s="362"/>
      <c r="K3" s="362"/>
      <c r="L3" s="362"/>
      <c r="M3" s="362"/>
      <c r="N3" s="363"/>
      <c r="O3" s="362"/>
      <c r="P3" s="362"/>
      <c r="Q3" s="362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369" t="s">
        <v>5</v>
      </c>
      <c r="F6" s="369"/>
      <c r="G6" s="369"/>
      <c r="H6" s="360" t="s">
        <v>6</v>
      </c>
      <c r="I6" s="360"/>
      <c r="J6" s="360"/>
      <c r="K6" s="360"/>
      <c r="L6" s="360" t="s">
        <v>7</v>
      </c>
      <c r="M6" s="360"/>
      <c r="N6" s="360"/>
      <c r="O6" s="360"/>
      <c r="P6" s="360"/>
      <c r="Q6" s="360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61" t="s">
        <v>8</v>
      </c>
      <c r="M7" s="361"/>
      <c r="N7" s="361"/>
      <c r="O7" s="361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 x14ac:dyDescent="0.3">
      <c r="A96" s="358" t="s">
        <v>154</v>
      </c>
      <c r="B96" s="358"/>
      <c r="C96" s="35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364" t="s">
        <v>3</v>
      </c>
      <c r="B97" s="364" t="s">
        <v>86</v>
      </c>
      <c r="C97" s="7" t="s">
        <v>87</v>
      </c>
      <c r="D97" s="364" t="s">
        <v>4</v>
      </c>
      <c r="E97" s="364" t="s">
        <v>5</v>
      </c>
      <c r="F97" s="364"/>
      <c r="G97" s="364"/>
      <c r="H97" s="364" t="s">
        <v>6</v>
      </c>
      <c r="I97" s="364"/>
      <c r="J97" s="364"/>
      <c r="K97" s="364"/>
      <c r="L97" s="364" t="s">
        <v>7</v>
      </c>
      <c r="M97" s="364"/>
      <c r="N97" s="364"/>
      <c r="O97" s="364"/>
      <c r="P97" s="364"/>
      <c r="Q97" s="364"/>
    </row>
    <row r="98" spans="1:17" ht="120" x14ac:dyDescent="0.2">
      <c r="A98" s="364"/>
      <c r="B98" s="364"/>
      <c r="C98" s="7"/>
      <c r="D98" s="364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359" t="s">
        <v>98</v>
      </c>
      <c r="B100" s="35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359"/>
      <c r="B101" s="35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20" x14ac:dyDescent="0.25">
      <c r="A102" s="359"/>
      <c r="B102" s="35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5" x14ac:dyDescent="0.2">
      <c r="A103" s="359"/>
      <c r="B103" s="356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90" x14ac:dyDescent="0.25">
      <c r="A104" s="359"/>
      <c r="B104" s="35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120" x14ac:dyDescent="0.25">
      <c r="A105" s="359"/>
      <c r="B105" s="35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20" x14ac:dyDescent="0.25">
      <c r="A106" s="359"/>
      <c r="B106" s="35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5" x14ac:dyDescent="0.25">
      <c r="A107" s="359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90" x14ac:dyDescent="0.25">
      <c r="A108" s="359"/>
      <c r="B108" s="35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120" x14ac:dyDescent="0.25">
      <c r="A109" s="359"/>
      <c r="B109" s="35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20" x14ac:dyDescent="0.25">
      <c r="A110" s="359"/>
      <c r="B110" s="35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5" x14ac:dyDescent="0.25">
      <c r="A111" s="359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 x14ac:dyDescent="0.25">
      <c r="A112" s="359"/>
      <c r="B112" s="35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 x14ac:dyDescent="0.25">
      <c r="A113" s="359"/>
      <c r="B113" s="35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5" x14ac:dyDescent="0.25">
      <c r="A114" s="359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35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90" x14ac:dyDescent="0.25">
      <c r="A116" s="359" t="s">
        <v>113</v>
      </c>
      <c r="B116" s="35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 x14ac:dyDescent="0.2">
      <c r="A117" s="359"/>
      <c r="B117" s="35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20" x14ac:dyDescent="0.25">
      <c r="A118" s="359"/>
      <c r="B118" s="35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5" x14ac:dyDescent="0.2">
      <c r="A119" s="359"/>
      <c r="B119" s="35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90" x14ac:dyDescent="0.25">
      <c r="A120" s="359"/>
      <c r="B120" s="35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 x14ac:dyDescent="0.25">
      <c r="A121" s="359"/>
      <c r="B121" s="35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20" x14ac:dyDescent="0.25">
      <c r="A122" s="359"/>
      <c r="B122" s="35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5" x14ac:dyDescent="0.25">
      <c r="A123" s="359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90" x14ac:dyDescent="0.25">
      <c r="A124" s="359"/>
      <c r="B124" s="35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 x14ac:dyDescent="0.25">
      <c r="A125" s="359"/>
      <c r="B125" s="35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20" x14ac:dyDescent="0.25">
      <c r="A126" s="359"/>
      <c r="B126" s="35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5" x14ac:dyDescent="0.25">
      <c r="A127" s="359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 x14ac:dyDescent="0.25">
      <c r="A128" s="359"/>
      <c r="B128" s="35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 x14ac:dyDescent="0.25">
      <c r="A129" s="359"/>
      <c r="B129" s="35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5" x14ac:dyDescent="0.25">
      <c r="A130" s="359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4.25" x14ac:dyDescent="0.2">
      <c r="A131" s="35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90" x14ac:dyDescent="0.25">
      <c r="A132" s="359" t="s">
        <v>114</v>
      </c>
      <c r="B132" s="35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120" x14ac:dyDescent="0.2">
      <c r="A133" s="359"/>
      <c r="B133" s="35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20" x14ac:dyDescent="0.25">
      <c r="A134" s="359"/>
      <c r="B134" s="35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5" x14ac:dyDescent="0.2">
      <c r="A135" s="359"/>
      <c r="B135" s="356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90" x14ac:dyDescent="0.25">
      <c r="A136" s="359"/>
      <c r="B136" s="35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 x14ac:dyDescent="0.25">
      <c r="A137" s="359"/>
      <c r="B137" s="35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20" x14ac:dyDescent="0.25">
      <c r="A138" s="359"/>
      <c r="B138" s="35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5" x14ac:dyDescent="0.25">
      <c r="A139" s="359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90" x14ac:dyDescent="0.25">
      <c r="A140" s="359"/>
      <c r="B140" s="35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120" x14ac:dyDescent="0.25">
      <c r="A141" s="359"/>
      <c r="B141" s="35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20" x14ac:dyDescent="0.25">
      <c r="A142" s="359"/>
      <c r="B142" s="35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5" x14ac:dyDescent="0.25">
      <c r="A143" s="359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 x14ac:dyDescent="0.25">
      <c r="A144" s="359"/>
      <c r="B144" s="35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 x14ac:dyDescent="0.25">
      <c r="A145" s="359"/>
      <c r="B145" s="35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5" x14ac:dyDescent="0.25">
      <c r="A146" s="359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4.25" x14ac:dyDescent="0.2">
      <c r="A147" s="35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90" x14ac:dyDescent="0.25">
      <c r="A148" s="359" t="s">
        <v>115</v>
      </c>
      <c r="B148" s="35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 x14ac:dyDescent="0.2">
      <c r="A149" s="359"/>
      <c r="B149" s="35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20" x14ac:dyDescent="0.25">
      <c r="A150" s="359"/>
      <c r="B150" s="35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5" x14ac:dyDescent="0.2">
      <c r="A151" s="359"/>
      <c r="B151" s="356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90" x14ac:dyDescent="0.25">
      <c r="A152" s="359"/>
      <c r="B152" s="35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 x14ac:dyDescent="0.25">
      <c r="A153" s="359"/>
      <c r="B153" s="35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20" x14ac:dyDescent="0.25">
      <c r="A154" s="359"/>
      <c r="B154" s="35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5" x14ac:dyDescent="0.25">
      <c r="A155" s="359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90" x14ac:dyDescent="0.25">
      <c r="A156" s="359"/>
      <c r="B156" s="35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120" x14ac:dyDescent="0.25">
      <c r="A157" s="359"/>
      <c r="B157" s="35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20" x14ac:dyDescent="0.25">
      <c r="A158" s="359"/>
      <c r="B158" s="35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5" x14ac:dyDescent="0.25">
      <c r="A159" s="359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 x14ac:dyDescent="0.25">
      <c r="A160" s="359"/>
      <c r="B160" s="35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 x14ac:dyDescent="0.25">
      <c r="A161" s="359"/>
      <c r="B161" s="35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5" x14ac:dyDescent="0.25">
      <c r="A162" s="359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4.25" x14ac:dyDescent="0.2">
      <c r="A163" s="35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90" x14ac:dyDescent="0.25">
      <c r="A164" s="359" t="s">
        <v>116</v>
      </c>
      <c r="B164" s="35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 x14ac:dyDescent="0.2">
      <c r="A165" s="359"/>
      <c r="B165" s="35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20" x14ac:dyDescent="0.25">
      <c r="A166" s="359"/>
      <c r="B166" s="35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105" x14ac:dyDescent="0.25">
      <c r="A167" s="35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5" x14ac:dyDescent="0.2">
      <c r="A168" s="359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90" x14ac:dyDescent="0.25">
      <c r="A169" s="359"/>
      <c r="B169" s="35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 x14ac:dyDescent="0.25">
      <c r="A170" s="359"/>
      <c r="B170" s="35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 x14ac:dyDescent="0.25">
      <c r="A171" s="359"/>
      <c r="B171" s="35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20" x14ac:dyDescent="0.25">
      <c r="A172" s="359"/>
      <c r="B172" s="35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105" x14ac:dyDescent="0.25">
      <c r="A173" s="35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5" x14ac:dyDescent="0.25">
      <c r="A174" s="359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90" x14ac:dyDescent="0.25">
      <c r="A175" s="359"/>
      <c r="B175" s="35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 x14ac:dyDescent="0.25">
      <c r="A176" s="359"/>
      <c r="B176" s="35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20" x14ac:dyDescent="0.25">
      <c r="A177" s="359"/>
      <c r="B177" s="35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5" x14ac:dyDescent="0.25">
      <c r="A178" s="359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 x14ac:dyDescent="0.25">
      <c r="A179" s="359"/>
      <c r="B179" s="35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 x14ac:dyDescent="0.25">
      <c r="A180" s="359"/>
      <c r="B180" s="35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5" x14ac:dyDescent="0.25">
      <c r="A181" s="359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4.25" x14ac:dyDescent="0.2">
      <c r="A182" s="35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 x14ac:dyDescent="0.25">
      <c r="A183" s="359" t="s">
        <v>119</v>
      </c>
      <c r="B183" s="35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359"/>
      <c r="B184" s="35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359"/>
      <c r="B185" s="35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5" x14ac:dyDescent="0.2">
      <c r="A186" s="359"/>
      <c r="B186" s="35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359"/>
      <c r="B187" s="35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359"/>
      <c r="B188" s="35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359"/>
      <c r="B189" s="35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20" x14ac:dyDescent="0.25">
      <c r="A190" s="35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5" x14ac:dyDescent="0.25">
      <c r="A191" s="35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35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35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359"/>
      <c r="B194" s="35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 x14ac:dyDescent="0.25">
      <c r="A195" s="359"/>
      <c r="B195" s="35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5" x14ac:dyDescent="0.25">
      <c r="A196" s="359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4.25" x14ac:dyDescent="0.2">
      <c r="A197" s="35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367" t="s">
        <v>5</v>
      </c>
      <c r="E199" s="367"/>
      <c r="F199" s="367"/>
      <c r="G199" s="368" t="s">
        <v>6</v>
      </c>
      <c r="H199" s="368" t="s">
        <v>7</v>
      </c>
      <c r="I199" s="368"/>
      <c r="J199" s="368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68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36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 x14ac:dyDescent="0.25">
      <c r="A204" s="36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378" t="s">
        <v>207</v>
      </c>
      <c r="B5" s="378"/>
      <c r="C5" s="379"/>
      <c r="D5" s="378"/>
      <c r="E5" s="378"/>
      <c r="F5" s="379"/>
      <c r="G5" s="379"/>
      <c r="H5" s="378"/>
      <c r="I5" s="378"/>
      <c r="J5" s="378"/>
      <c r="K5" s="379"/>
      <c r="L5" s="378"/>
      <c r="M5" s="378"/>
      <c r="N5" s="378"/>
      <c r="O5" s="378"/>
      <c r="P5" s="379"/>
      <c r="Q5" s="379"/>
      <c r="R5" s="379"/>
      <c r="S5" s="379"/>
      <c r="T5" s="378"/>
      <c r="U5" s="378"/>
      <c r="V5" s="378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80" t="s">
        <v>6</v>
      </c>
      <c r="K8" s="381"/>
      <c r="L8" s="381"/>
      <c r="M8" s="382"/>
      <c r="N8" s="371" t="s">
        <v>7</v>
      </c>
      <c r="O8" s="371"/>
      <c r="P8" s="371"/>
      <c r="Q8" s="371"/>
      <c r="R8" s="371"/>
      <c r="S8" s="371"/>
      <c r="T8" s="371"/>
      <c r="U8" s="371"/>
      <c r="V8" s="371"/>
    </row>
    <row r="9" spans="1:24" x14ac:dyDescent="0.25">
      <c r="A9" s="109"/>
      <c r="B9" s="109"/>
      <c r="C9" s="109"/>
      <c r="D9" s="109"/>
      <c r="E9" s="385"/>
      <c r="F9" s="386"/>
      <c r="G9" s="387"/>
      <c r="H9" s="108"/>
      <c r="I9" s="108"/>
      <c r="J9" s="142"/>
      <c r="K9" s="142"/>
      <c r="L9" s="142"/>
      <c r="M9" s="142"/>
      <c r="N9" s="380"/>
      <c r="O9" s="390"/>
      <c r="P9" s="390"/>
      <c r="Q9" s="390"/>
      <c r="R9" s="390"/>
      <c r="S9" s="390"/>
      <c r="T9" s="391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83" t="s">
        <v>176</v>
      </c>
      <c r="O10" s="383"/>
      <c r="P10" s="383"/>
      <c r="Q10" s="383"/>
      <c r="R10" s="383"/>
      <c r="S10" s="383"/>
      <c r="T10" s="383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05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 x14ac:dyDescent="0.25">
      <c r="A68" s="83"/>
      <c r="B68" s="97" t="s">
        <v>180</v>
      </c>
      <c r="C68" s="392" t="s">
        <v>78</v>
      </c>
      <c r="D68" s="394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 x14ac:dyDescent="0.25">
      <c r="A69" s="83"/>
      <c r="B69" s="97" t="s">
        <v>181</v>
      </c>
      <c r="C69" s="393"/>
      <c r="D69" s="395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384" t="s">
        <v>154</v>
      </c>
      <c r="B104" s="384"/>
      <c r="C104" s="384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388" t="s">
        <v>3</v>
      </c>
      <c r="B105" s="388" t="s">
        <v>86</v>
      </c>
      <c r="C105" s="114" t="s">
        <v>87</v>
      </c>
      <c r="D105" s="388" t="s">
        <v>4</v>
      </c>
      <c r="E105" s="389" t="s">
        <v>5</v>
      </c>
      <c r="F105" s="389"/>
      <c r="G105" s="389"/>
      <c r="H105" s="389"/>
      <c r="I105" s="389"/>
      <c r="J105" s="377" t="s">
        <v>6</v>
      </c>
      <c r="K105" s="377"/>
      <c r="L105" s="377"/>
      <c r="M105" s="377"/>
      <c r="N105" s="377" t="s">
        <v>7</v>
      </c>
      <c r="O105" s="377"/>
      <c r="P105" s="377"/>
      <c r="Q105" s="377"/>
      <c r="R105" s="377"/>
      <c r="S105" s="377"/>
      <c r="T105" s="377"/>
      <c r="U105" s="377"/>
      <c r="V105" s="377"/>
    </row>
    <row r="106" spans="1:22" ht="120" x14ac:dyDescent="0.25">
      <c r="A106" s="388"/>
      <c r="B106" s="388"/>
      <c r="C106" s="114"/>
      <c r="D106" s="388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372" t="s">
        <v>98</v>
      </c>
      <c r="B108" s="374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372"/>
      <c r="B109" s="375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372"/>
      <c r="B110" s="375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372"/>
      <c r="B111" s="375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372"/>
      <c r="B112" s="375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 x14ac:dyDescent="0.25">
      <c r="A113" s="372"/>
      <c r="B113" s="375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 x14ac:dyDescent="0.25">
      <c r="A114" s="372"/>
      <c r="B114" s="375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 x14ac:dyDescent="0.25">
      <c r="A115" s="372"/>
      <c r="B115" s="375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 x14ac:dyDescent="0.25">
      <c r="A116" s="372"/>
      <c r="B116" s="375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 x14ac:dyDescent="0.25">
      <c r="A117" s="372"/>
      <c r="B117" s="375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20" x14ac:dyDescent="0.25">
      <c r="A118" s="372"/>
      <c r="B118" s="375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 x14ac:dyDescent="0.25">
      <c r="A119" s="372"/>
      <c r="B119" s="376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372"/>
      <c r="B120" s="373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 x14ac:dyDescent="0.25">
      <c r="A121" s="372"/>
      <c r="B121" s="373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372"/>
      <c r="B122" s="373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372"/>
      <c r="B123" s="373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 x14ac:dyDescent="0.25">
      <c r="A124" s="372"/>
      <c r="B124" s="373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20" x14ac:dyDescent="0.25">
      <c r="A125" s="372"/>
      <c r="B125" s="373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372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90" x14ac:dyDescent="0.25">
      <c r="A127" s="372"/>
      <c r="B127" s="373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120" x14ac:dyDescent="0.25">
      <c r="A128" s="372"/>
      <c r="B128" s="373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372"/>
      <c r="B129" s="373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20" x14ac:dyDescent="0.25">
      <c r="A130" s="372"/>
      <c r="B130" s="373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 x14ac:dyDescent="0.25">
      <c r="A131" s="372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105" x14ac:dyDescent="0.25">
      <c r="A132" s="372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 x14ac:dyDescent="0.25">
      <c r="A133" s="372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 x14ac:dyDescent="0.25">
      <c r="A134" s="372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372" t="s">
        <v>113</v>
      </c>
      <c r="B135" s="373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135" x14ac:dyDescent="0.25">
      <c r="A136" s="372"/>
      <c r="B136" s="373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372"/>
      <c r="B137" s="373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 x14ac:dyDescent="0.25">
      <c r="A138" s="372"/>
      <c r="B138" s="373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 x14ac:dyDescent="0.25">
      <c r="A139" s="372"/>
      <c r="B139" s="373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 x14ac:dyDescent="0.25">
      <c r="A140" s="372"/>
      <c r="B140" s="373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 x14ac:dyDescent="0.25">
      <c r="A141" s="372"/>
      <c r="B141" s="373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20" x14ac:dyDescent="0.25">
      <c r="A142" s="372"/>
      <c r="B142" s="373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 x14ac:dyDescent="0.25">
      <c r="A143" s="372"/>
      <c r="B143" s="373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372"/>
      <c r="B144" s="373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120" x14ac:dyDescent="0.25">
      <c r="A145" s="372"/>
      <c r="B145" s="373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372"/>
      <c r="B146" s="373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 x14ac:dyDescent="0.25">
      <c r="A147" s="372"/>
      <c r="B147" s="373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 x14ac:dyDescent="0.25">
      <c r="A148" s="372"/>
      <c r="B148" s="373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20" x14ac:dyDescent="0.25">
      <c r="A149" s="372"/>
      <c r="B149" s="373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 x14ac:dyDescent="0.25">
      <c r="A150" s="372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90" x14ac:dyDescent="0.25">
      <c r="A151" s="372"/>
      <c r="B151" s="373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120" x14ac:dyDescent="0.25">
      <c r="A152" s="372"/>
      <c r="B152" s="373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372"/>
      <c r="B153" s="373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372"/>
      <c r="B154" s="373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372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372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 x14ac:dyDescent="0.25">
      <c r="A157" s="372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 x14ac:dyDescent="0.25">
      <c r="A158" s="372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372" t="s">
        <v>114</v>
      </c>
      <c r="B159" s="373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135" x14ac:dyDescent="0.25">
      <c r="A160" s="372"/>
      <c r="B160" s="373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372"/>
      <c r="B161" s="373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372"/>
      <c r="B162" s="373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372"/>
      <c r="B163" s="373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 x14ac:dyDescent="0.25">
      <c r="A164" s="372"/>
      <c r="B164" s="373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 x14ac:dyDescent="0.25">
      <c r="A165" s="372"/>
      <c r="B165" s="373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20" x14ac:dyDescent="0.25">
      <c r="A166" s="372"/>
      <c r="B166" s="373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 x14ac:dyDescent="0.25">
      <c r="A167" s="372"/>
      <c r="B167" s="373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90" x14ac:dyDescent="0.25">
      <c r="A168" s="372"/>
      <c r="B168" s="373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135" x14ac:dyDescent="0.25">
      <c r="A169" s="372"/>
      <c r="B169" s="373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372"/>
      <c r="B170" s="373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372"/>
      <c r="B171" s="373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 x14ac:dyDescent="0.25">
      <c r="A172" s="372"/>
      <c r="B172" s="373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20" x14ac:dyDescent="0.25">
      <c r="A173" s="372"/>
      <c r="B173" s="373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 x14ac:dyDescent="0.25">
      <c r="A174" s="372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90" x14ac:dyDescent="0.25">
      <c r="A175" s="372"/>
      <c r="B175" s="373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135" x14ac:dyDescent="0.25">
      <c r="A176" s="372"/>
      <c r="B176" s="373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372"/>
      <c r="B177" s="373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372"/>
      <c r="B178" s="373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372"/>
      <c r="B179" s="373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 x14ac:dyDescent="0.25">
      <c r="A180" s="372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105" x14ac:dyDescent="0.25">
      <c r="A181" s="372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 x14ac:dyDescent="0.25">
      <c r="A182" s="372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 x14ac:dyDescent="0.25">
      <c r="A183" s="372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372" t="s">
        <v>115</v>
      </c>
      <c r="B184" s="373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135" x14ac:dyDescent="0.25">
      <c r="A185" s="372"/>
      <c r="B185" s="373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372"/>
      <c r="B186" s="373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 x14ac:dyDescent="0.25">
      <c r="A187" s="372"/>
      <c r="B187" s="373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 x14ac:dyDescent="0.25">
      <c r="A188" s="372"/>
      <c r="B188" s="373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 x14ac:dyDescent="0.25">
      <c r="A189" s="372"/>
      <c r="B189" s="373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 x14ac:dyDescent="0.25">
      <c r="A190" s="372"/>
      <c r="B190" s="373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 x14ac:dyDescent="0.25">
      <c r="A191" s="372"/>
      <c r="B191" s="373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 x14ac:dyDescent="0.25">
      <c r="A192" s="372"/>
      <c r="B192" s="373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20" x14ac:dyDescent="0.25">
      <c r="A193" s="372"/>
      <c r="B193" s="373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 x14ac:dyDescent="0.25">
      <c r="A194" s="372"/>
      <c r="B194" s="373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90" x14ac:dyDescent="0.25">
      <c r="A195" s="372"/>
      <c r="B195" s="373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135" x14ac:dyDescent="0.25">
      <c r="A196" s="372"/>
      <c r="B196" s="373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372"/>
      <c r="B197" s="373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 x14ac:dyDescent="0.25">
      <c r="A198" s="372"/>
      <c r="B198" s="373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 x14ac:dyDescent="0.25">
      <c r="A199" s="372"/>
      <c r="B199" s="373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 x14ac:dyDescent="0.25">
      <c r="A200" s="372"/>
      <c r="B200" s="373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 x14ac:dyDescent="0.25">
      <c r="A201" s="372"/>
      <c r="B201" s="373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20" x14ac:dyDescent="0.25">
      <c r="A202" s="372"/>
      <c r="B202" s="373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 x14ac:dyDescent="0.25">
      <c r="A203" s="372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90" x14ac:dyDescent="0.25">
      <c r="A204" s="372"/>
      <c r="B204" s="373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135" x14ac:dyDescent="0.25">
      <c r="A205" s="372"/>
      <c r="B205" s="373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372"/>
      <c r="B206" s="373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372"/>
      <c r="B207" s="373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 x14ac:dyDescent="0.25">
      <c r="A208" s="372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105" x14ac:dyDescent="0.25">
      <c r="A209" s="372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 x14ac:dyDescent="0.25">
      <c r="A210" s="372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 x14ac:dyDescent="0.25">
      <c r="A211" s="372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372" t="s">
        <v>116</v>
      </c>
      <c r="B212" s="374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135" x14ac:dyDescent="0.25">
      <c r="A213" s="372"/>
      <c r="B213" s="375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372"/>
      <c r="B214" s="375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 x14ac:dyDescent="0.25">
      <c r="A215" s="372"/>
      <c r="B215" s="375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 x14ac:dyDescent="0.25">
      <c r="A216" s="372"/>
      <c r="B216" s="375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 x14ac:dyDescent="0.25">
      <c r="A217" s="372"/>
      <c r="B217" s="375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 x14ac:dyDescent="0.25">
      <c r="A218" s="372"/>
      <c r="B218" s="375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 x14ac:dyDescent="0.25">
      <c r="A219" s="372"/>
      <c r="B219" s="375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20" x14ac:dyDescent="0.25">
      <c r="A220" s="372"/>
      <c r="B220" s="375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105" x14ac:dyDescent="0.25">
      <c r="A221" s="372"/>
      <c r="B221" s="375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 x14ac:dyDescent="0.25">
      <c r="A222" s="372"/>
      <c r="B222" s="376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90" x14ac:dyDescent="0.25">
      <c r="A223" s="372"/>
      <c r="B223" s="374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120" x14ac:dyDescent="0.25">
      <c r="A224" s="372"/>
      <c r="B224" s="375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120" x14ac:dyDescent="0.25">
      <c r="A225" s="372"/>
      <c r="B225" s="375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372"/>
      <c r="B226" s="375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372"/>
      <c r="B227" s="375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372"/>
      <c r="B228" s="375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372"/>
      <c r="B229" s="375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105" x14ac:dyDescent="0.25">
      <c r="A230" s="372"/>
      <c r="B230" s="375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 x14ac:dyDescent="0.25">
      <c r="A231" s="372"/>
      <c r="B231" s="376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90" x14ac:dyDescent="0.25">
      <c r="A232" s="372"/>
      <c r="B232" s="374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119.25" x14ac:dyDescent="0.25">
      <c r="A233" s="372"/>
      <c r="B233" s="375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120" x14ac:dyDescent="0.25">
      <c r="A234" s="372"/>
      <c r="B234" s="375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372"/>
      <c r="B235" s="375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372"/>
      <c r="B236" s="375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 x14ac:dyDescent="0.25">
      <c r="A237" s="372"/>
      <c r="B237" s="376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105" x14ac:dyDescent="0.25">
      <c r="A238" s="372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 x14ac:dyDescent="0.25">
      <c r="A239" s="372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 x14ac:dyDescent="0.25">
      <c r="A240" s="372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15" customHeight="1" x14ac:dyDescent="0.25">
      <c r="A241" s="372" t="s">
        <v>119</v>
      </c>
      <c r="B241" s="373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372"/>
      <c r="B242" s="373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372"/>
      <c r="B243" s="373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372"/>
      <c r="B244" s="373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372"/>
      <c r="B245" s="373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372"/>
      <c r="B246" s="373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225" x14ac:dyDescent="0.25">
      <c r="A247" s="372"/>
      <c r="B247" s="373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372"/>
      <c r="B248" s="373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372"/>
      <c r="B249" s="373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372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372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372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372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372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" customHeight="1" x14ac:dyDescent="0.25">
      <c r="A255" s="372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372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372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372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372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105" x14ac:dyDescent="0.25">
      <c r="A260" s="372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 x14ac:dyDescent="0.25">
      <c r="A261" s="372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 x14ac:dyDescent="0.25">
      <c r="A262" s="372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370" t="s">
        <v>5</v>
      </c>
      <c r="E264" s="370"/>
      <c r="F264" s="370"/>
      <c r="G264" s="370"/>
      <c r="H264" s="370"/>
      <c r="I264" s="371" t="s">
        <v>6</v>
      </c>
      <c r="J264" s="371" t="s">
        <v>7</v>
      </c>
      <c r="K264" s="371"/>
      <c r="L264" s="371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71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5"/>
  <sheetViews>
    <sheetView zoomScale="70" zoomScaleNormal="7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P4" sqref="P4"/>
    </sheetView>
  </sheetViews>
  <sheetFormatPr defaultColWidth="9.140625" defaultRowHeight="15" x14ac:dyDescent="0.25"/>
  <cols>
    <col min="1" max="1" width="19.42578125" style="182" customWidth="1"/>
    <col min="2" max="2" width="28.7109375" style="182" customWidth="1"/>
    <col min="3" max="3" width="24.5703125" style="182" customWidth="1"/>
    <col min="4" max="4" width="8.7109375" style="182" customWidth="1"/>
    <col min="5" max="5" width="18.28515625" style="189" customWidth="1"/>
    <col min="6" max="6" width="13.28515625" style="189" customWidth="1"/>
    <col min="7" max="7" width="11.7109375" style="189" bestFit="1" customWidth="1"/>
    <col min="8" max="8" width="12.85546875" style="182" bestFit="1" customWidth="1"/>
    <col min="9" max="9" width="12.140625" style="182" bestFit="1" customWidth="1"/>
    <col min="10" max="10" width="17.28515625" style="182" customWidth="1"/>
    <col min="11" max="11" width="16" style="189" customWidth="1"/>
    <col min="12" max="12" width="13.85546875" style="189" customWidth="1"/>
    <col min="13" max="13" width="13.5703125" style="182" customWidth="1"/>
    <col min="14" max="14" width="16.7109375" style="182" customWidth="1"/>
    <col min="15" max="15" width="22.140625" style="182" customWidth="1"/>
    <col min="16" max="16" width="14.7109375" style="182" customWidth="1"/>
    <col min="17" max="17" width="21.85546875" style="182" hidden="1" customWidth="1"/>
    <col min="18" max="18" width="18.140625" style="182" customWidth="1"/>
    <col min="19" max="19" width="18.5703125" style="189" hidden="1" customWidth="1"/>
    <col min="20" max="20" width="18.7109375" style="189" customWidth="1"/>
    <col min="21" max="21" width="19" style="189" customWidth="1"/>
    <col min="22" max="22" width="15.28515625" style="182" hidden="1" customWidth="1"/>
    <col min="23" max="23" width="20.28515625" style="182" hidden="1" customWidth="1"/>
    <col min="24" max="24" width="22" style="182" hidden="1" customWidth="1"/>
    <col min="25" max="25" width="18" style="182" hidden="1" customWidth="1"/>
    <col min="26" max="26" width="18.42578125" style="182" hidden="1" customWidth="1"/>
    <col min="27" max="27" width="15" style="182" customWidth="1"/>
    <col min="28" max="29" width="9.140625" style="182" customWidth="1"/>
    <col min="30" max="16384" width="9.140625" style="182"/>
  </cols>
  <sheetData>
    <row r="1" spans="1:21" x14ac:dyDescent="0.25">
      <c r="T1" s="186" t="s">
        <v>175</v>
      </c>
    </row>
    <row r="2" spans="1:21" ht="13.9" hidden="1" customHeight="1" x14ac:dyDescent="0.25">
      <c r="T2" s="186" t="s">
        <v>337</v>
      </c>
    </row>
    <row r="3" spans="1:21" ht="13.9" hidden="1" customHeight="1" x14ac:dyDescent="0.25">
      <c r="R3" s="117"/>
      <c r="S3" s="186"/>
      <c r="T3" s="186" t="s">
        <v>175</v>
      </c>
    </row>
    <row r="4" spans="1:21" x14ac:dyDescent="0.25">
      <c r="R4" s="117"/>
      <c r="S4" s="186"/>
      <c r="T4" s="186" t="s">
        <v>359</v>
      </c>
    </row>
    <row r="5" spans="1:21" ht="13.9" hidden="1" customHeight="1" x14ac:dyDescent="0.25">
      <c r="R5" s="117" t="s">
        <v>175</v>
      </c>
      <c r="S5" s="186"/>
    </row>
    <row r="6" spans="1:21" ht="13.9" hidden="1" customHeight="1" x14ac:dyDescent="0.25">
      <c r="R6" s="117" t="s">
        <v>189</v>
      </c>
      <c r="S6" s="186"/>
    </row>
    <row r="7" spans="1:21" x14ac:dyDescent="0.25">
      <c r="A7" s="379" t="s">
        <v>334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</row>
    <row r="8" spans="1:21" x14ac:dyDescent="0.25">
      <c r="A8" s="384" t="s">
        <v>154</v>
      </c>
      <c r="B8" s="384"/>
      <c r="C8" s="384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 x14ac:dyDescent="0.25">
      <c r="A9" s="388" t="s">
        <v>3</v>
      </c>
      <c r="B9" s="388" t="s">
        <v>86</v>
      </c>
      <c r="C9" s="286" t="s">
        <v>87</v>
      </c>
      <c r="D9" s="388" t="s">
        <v>4</v>
      </c>
      <c r="E9" s="389" t="s">
        <v>5</v>
      </c>
      <c r="F9" s="389"/>
      <c r="G9" s="389"/>
      <c r="H9" s="389"/>
      <c r="I9" s="389"/>
      <c r="J9" s="377" t="s">
        <v>6</v>
      </c>
      <c r="K9" s="377"/>
      <c r="L9" s="377"/>
      <c r="M9" s="377"/>
      <c r="N9" s="396" t="s">
        <v>7</v>
      </c>
      <c r="O9" s="396"/>
      <c r="P9" s="396"/>
      <c r="Q9" s="396"/>
      <c r="R9" s="396"/>
      <c r="S9" s="396"/>
      <c r="T9" s="396"/>
      <c r="U9" s="396"/>
    </row>
    <row r="10" spans="1:21" ht="120" x14ac:dyDescent="0.25">
      <c r="A10" s="388"/>
      <c r="B10" s="388"/>
      <c r="C10" s="286"/>
      <c r="D10" s="388"/>
      <c r="E10" s="298" t="s">
        <v>340</v>
      </c>
      <c r="F10" s="298" t="s">
        <v>343</v>
      </c>
      <c r="G10" s="298" t="s">
        <v>335</v>
      </c>
      <c r="H10" s="299" t="s">
        <v>260</v>
      </c>
      <c r="I10" s="299" t="s">
        <v>336</v>
      </c>
      <c r="J10" s="300" t="s">
        <v>88</v>
      </c>
      <c r="K10" s="301" t="s">
        <v>89</v>
      </c>
      <c r="L10" s="301" t="s">
        <v>90</v>
      </c>
      <c r="M10" s="300" t="s">
        <v>295</v>
      </c>
      <c r="N10" s="300" t="s">
        <v>338</v>
      </c>
      <c r="O10" s="300" t="s">
        <v>93</v>
      </c>
      <c r="P10" s="300" t="s">
        <v>94</v>
      </c>
      <c r="Q10" s="300" t="s">
        <v>222</v>
      </c>
      <c r="R10" s="300" t="s">
        <v>95</v>
      </c>
      <c r="S10" s="301" t="s">
        <v>223</v>
      </c>
      <c r="T10" s="301" t="s">
        <v>261</v>
      </c>
      <c r="U10" s="301" t="s">
        <v>339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302" t="s">
        <v>16</v>
      </c>
      <c r="F11" s="302" t="s">
        <v>16</v>
      </c>
      <c r="G11" s="302"/>
      <c r="H11" s="303" t="s">
        <v>16</v>
      </c>
      <c r="I11" s="303" t="s">
        <v>16</v>
      </c>
      <c r="J11" s="300" t="s">
        <v>17</v>
      </c>
      <c r="K11" s="301" t="s">
        <v>17</v>
      </c>
      <c r="L11" s="301" t="s">
        <v>17</v>
      </c>
      <c r="M11" s="300" t="s">
        <v>17</v>
      </c>
      <c r="N11" s="300" t="s">
        <v>17</v>
      </c>
      <c r="O11" s="300" t="s">
        <v>17</v>
      </c>
      <c r="P11" s="300" t="s">
        <v>17</v>
      </c>
      <c r="Q11" s="300"/>
      <c r="R11" s="300" t="s">
        <v>17</v>
      </c>
      <c r="S11" s="301"/>
      <c r="T11" s="301" t="s">
        <v>17</v>
      </c>
      <c r="U11" s="301" t="s">
        <v>17</v>
      </c>
    </row>
    <row r="12" spans="1:21" ht="82.9" customHeight="1" x14ac:dyDescent="0.25">
      <c r="A12" s="372" t="s">
        <v>98</v>
      </c>
      <c r="B12" s="374" t="s">
        <v>237</v>
      </c>
      <c r="C12" s="61" t="s">
        <v>100</v>
      </c>
      <c r="D12" s="62" t="s">
        <v>101</v>
      </c>
      <c r="E12" s="123">
        <f>309+1</f>
        <v>310</v>
      </c>
      <c r="F12" s="123">
        <f>309+1</f>
        <v>310</v>
      </c>
      <c r="G12" s="123">
        <f>((E12*8)+(F12*4))/12</f>
        <v>310</v>
      </c>
      <c r="H12" s="59">
        <v>310</v>
      </c>
      <c r="I12" s="59">
        <v>310</v>
      </c>
      <c r="J12" s="107">
        <f>SUM(K12:M12)</f>
        <v>42926.31</v>
      </c>
      <c r="K12" s="226">
        <f>23258.45+1351.63</f>
        <v>24610.080000000002</v>
      </c>
      <c r="L12" s="217">
        <f>4001.99</f>
        <v>4001.99</v>
      </c>
      <c r="M12" s="70">
        <v>14314.24</v>
      </c>
      <c r="N12" s="71">
        <f>SUM(O12:R12)</f>
        <v>13307218.800000001</v>
      </c>
      <c r="O12" s="71">
        <f>G12*K12</f>
        <v>7629124.8000000007</v>
      </c>
      <c r="P12" s="71">
        <f>G12*L12</f>
        <v>1240616.8999999999</v>
      </c>
      <c r="Q12" s="71"/>
      <c r="R12" s="75">
        <f>G12*M12+0.47+62.23</f>
        <v>4437477.1000000006</v>
      </c>
      <c r="S12" s="46"/>
      <c r="T12" s="46">
        <f>N12</f>
        <v>13307218.800000001</v>
      </c>
      <c r="U12" s="46">
        <f>T12</f>
        <v>13307218.800000001</v>
      </c>
    </row>
    <row r="13" spans="1:21" ht="90" x14ac:dyDescent="0.25">
      <c r="A13" s="372"/>
      <c r="B13" s="375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53"/>
      <c r="O13" s="71"/>
      <c r="P13" s="72" t="s">
        <v>104</v>
      </c>
      <c r="Q13" s="72"/>
      <c r="R13" s="72" t="s">
        <v>104</v>
      </c>
      <c r="S13" s="184"/>
      <c r="T13" s="212"/>
      <c r="U13" s="212"/>
    </row>
    <row r="14" spans="1:21" x14ac:dyDescent="0.25">
      <c r="A14" s="372"/>
      <c r="B14" s="375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5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12">
        <f>H14*K14</f>
        <v>0</v>
      </c>
      <c r="U14" s="212">
        <f>I14*K14</f>
        <v>0</v>
      </c>
    </row>
    <row r="15" spans="1:21" x14ac:dyDescent="0.25">
      <c r="A15" s="372"/>
      <c r="B15" s="375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11">
        <v>69482.740000000005</v>
      </c>
      <c r="L15" s="184" t="s">
        <v>104</v>
      </c>
      <c r="M15" s="72" t="s">
        <v>104</v>
      </c>
      <c r="N15" s="353">
        <f>O15</f>
        <v>694827.4</v>
      </c>
      <c r="O15" s="71">
        <f t="shared" ref="O15:O21" si="1">G15*K15</f>
        <v>694827.4</v>
      </c>
      <c r="P15" s="72" t="s">
        <v>104</v>
      </c>
      <c r="Q15" s="72"/>
      <c r="R15" s="72" t="s">
        <v>104</v>
      </c>
      <c r="S15" s="184"/>
      <c r="T15" s="212">
        <f>H15*K15</f>
        <v>694827.4</v>
      </c>
      <c r="U15" s="212">
        <f>I15*K15</f>
        <v>694827.4</v>
      </c>
    </row>
    <row r="16" spans="1:21" x14ac:dyDescent="0.25">
      <c r="A16" s="372"/>
      <c r="B16" s="375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53">
        <f t="shared" ref="N16:N21" si="3">O16</f>
        <v>92591.35</v>
      </c>
      <c r="O16" s="71">
        <f t="shared" si="1"/>
        <v>92591.35</v>
      </c>
      <c r="P16" s="72" t="s">
        <v>104</v>
      </c>
      <c r="Q16" s="72"/>
      <c r="R16" s="72" t="s">
        <v>104</v>
      </c>
      <c r="S16" s="184"/>
      <c r="T16" s="212">
        <f t="shared" ref="T16:T21" si="4">H16*K16</f>
        <v>92591.35</v>
      </c>
      <c r="U16" s="212">
        <f t="shared" ref="U16:U21" si="5">I16*K16</f>
        <v>92591.35</v>
      </c>
    </row>
    <row r="17" spans="1:24" x14ac:dyDescent="0.25">
      <c r="A17" s="372"/>
      <c r="B17" s="375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53">
        <f t="shared" si="3"/>
        <v>2260367.5999999996</v>
      </c>
      <c r="O17" s="71">
        <f t="shared" si="1"/>
        <v>2260367.5999999996</v>
      </c>
      <c r="P17" s="72" t="s">
        <v>104</v>
      </c>
      <c r="Q17" s="72"/>
      <c r="R17" s="72" t="s">
        <v>104</v>
      </c>
      <c r="S17" s="184"/>
      <c r="T17" s="212">
        <f t="shared" si="4"/>
        <v>2260367.5999999996</v>
      </c>
      <c r="U17" s="212">
        <f t="shared" si="5"/>
        <v>2260367.5999999996</v>
      </c>
    </row>
    <row r="18" spans="1:24" x14ac:dyDescent="0.25">
      <c r="A18" s="372"/>
      <c r="B18" s="375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5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12">
        <f t="shared" si="4"/>
        <v>0</v>
      </c>
      <c r="U18" s="212">
        <f t="shared" si="5"/>
        <v>0</v>
      </c>
    </row>
    <row r="19" spans="1:24" x14ac:dyDescent="0.25">
      <c r="A19" s="372"/>
      <c r="B19" s="375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5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12">
        <f t="shared" si="4"/>
        <v>0</v>
      </c>
      <c r="U19" s="212">
        <f t="shared" si="5"/>
        <v>0</v>
      </c>
    </row>
    <row r="20" spans="1:24" x14ac:dyDescent="0.25">
      <c r="A20" s="372"/>
      <c r="B20" s="375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53">
        <f t="shared" si="3"/>
        <v>99770.92</v>
      </c>
      <c r="O20" s="71">
        <f t="shared" si="1"/>
        <v>99770.92</v>
      </c>
      <c r="P20" s="72" t="s">
        <v>104</v>
      </c>
      <c r="Q20" s="72"/>
      <c r="R20" s="72" t="s">
        <v>104</v>
      </c>
      <c r="S20" s="184"/>
      <c r="T20" s="212">
        <f t="shared" si="4"/>
        <v>99770.92</v>
      </c>
      <c r="U20" s="212">
        <f t="shared" si="5"/>
        <v>99770.92</v>
      </c>
    </row>
    <row r="21" spans="1:24" x14ac:dyDescent="0.25">
      <c r="A21" s="372"/>
      <c r="B21" s="375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53">
        <f t="shared" si="3"/>
        <v>47357.58</v>
      </c>
      <c r="O21" s="71">
        <f t="shared" si="1"/>
        <v>47357.58</v>
      </c>
      <c r="P21" s="72" t="s">
        <v>104</v>
      </c>
      <c r="Q21" s="72"/>
      <c r="R21" s="72" t="s">
        <v>104</v>
      </c>
      <c r="S21" s="184"/>
      <c r="T21" s="212">
        <f t="shared" si="4"/>
        <v>47357.58</v>
      </c>
      <c r="U21" s="212">
        <f t="shared" si="5"/>
        <v>47357.58</v>
      </c>
    </row>
    <row r="22" spans="1:24" ht="120" x14ac:dyDescent="0.25">
      <c r="A22" s="372"/>
      <c r="B22" s="375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7">
        <f>4001.99</f>
        <v>4001.99</v>
      </c>
      <c r="M22" s="70">
        <v>14314.24</v>
      </c>
      <c r="N22" s="71">
        <f>SUM(O22:R22)</f>
        <v>705897.95</v>
      </c>
      <c r="O22" s="71">
        <f>G22*K22</f>
        <v>614316.80000000005</v>
      </c>
      <c r="P22" s="71">
        <f>G22*L22</f>
        <v>20009.949999999997</v>
      </c>
      <c r="Q22" s="71"/>
      <c r="R22" s="75">
        <f>G22*M22</f>
        <v>71571.199999999997</v>
      </c>
      <c r="S22" s="46"/>
      <c r="T22" s="212">
        <f>H22*J22</f>
        <v>705897.95</v>
      </c>
      <c r="U22" s="212">
        <f>T22</f>
        <v>705897.95</v>
      </c>
    </row>
    <row r="23" spans="1:24" x14ac:dyDescent="0.25">
      <c r="A23" s="372"/>
      <c r="B23" s="376"/>
      <c r="C23" s="304" t="s">
        <v>106</v>
      </c>
      <c r="D23" s="67"/>
      <c r="E23" s="123">
        <f>E12+E22</f>
        <v>315</v>
      </c>
      <c r="F23" s="123">
        <f>F12+F22</f>
        <v>315</v>
      </c>
      <c r="G23" s="123">
        <f>G12+G22</f>
        <v>315</v>
      </c>
      <c r="H23" s="59">
        <f>H12+H22</f>
        <v>315</v>
      </c>
      <c r="I23" s="59">
        <f>I12+I22</f>
        <v>315</v>
      </c>
      <c r="J23" s="71" t="s">
        <v>104</v>
      </c>
      <c r="K23" s="211" t="s">
        <v>104</v>
      </c>
      <c r="L23" s="211" t="s">
        <v>104</v>
      </c>
      <c r="M23" s="71" t="s">
        <v>104</v>
      </c>
      <c r="N23" s="118">
        <f>SUM(N12:N22)</f>
        <v>17208031.600000001</v>
      </c>
      <c r="O23" s="118">
        <f>SUM(O12:O22)</f>
        <v>11438356.450000001</v>
      </c>
      <c r="P23" s="118">
        <f>SUM(P12:P22)</f>
        <v>1260626.8499999999</v>
      </c>
      <c r="Q23" s="118"/>
      <c r="R23" s="118">
        <f>SUM(R12:R22)</f>
        <v>4509048.3000000007</v>
      </c>
      <c r="S23" s="211"/>
      <c r="T23" s="46">
        <f>SUM(T12:T22)</f>
        <v>17208031.600000001</v>
      </c>
      <c r="U23" s="46">
        <f>SUM(U12:U22)</f>
        <v>17208031.600000001</v>
      </c>
      <c r="W23" s="192">
        <f>R23+R30+R36+R42</f>
        <v>10200439.600000001</v>
      </c>
    </row>
    <row r="24" spans="1:24" ht="82.9" customHeight="1" x14ac:dyDescent="0.25">
      <c r="A24" s="372"/>
      <c r="B24" s="373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6">
        <f>34483.05+1649.65</f>
        <v>36132.700000000004</v>
      </c>
      <c r="L24" s="217">
        <f>4001.99</f>
        <v>4001.99</v>
      </c>
      <c r="M24" s="70">
        <v>14567.32</v>
      </c>
      <c r="N24" s="71">
        <f>SUM(O24:R24)</f>
        <v>15261860.790000001</v>
      </c>
      <c r="O24" s="71">
        <f>G24*K24</f>
        <v>10081023.300000001</v>
      </c>
      <c r="P24" s="73">
        <f>G24*L24</f>
        <v>1116555.21</v>
      </c>
      <c r="Q24" s="73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 x14ac:dyDescent="0.25">
      <c r="A25" s="372"/>
      <c r="B25" s="373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 x14ac:dyDescent="0.25">
      <c r="A26" s="372"/>
      <c r="B26" s="373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 x14ac:dyDescent="0.25">
      <c r="A27" s="372"/>
      <c r="B27" s="373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8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 x14ac:dyDescent="0.25">
      <c r="A28" s="372"/>
      <c r="B28" s="373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71">
        <f t="shared" si="6"/>
        <v>23678.79</v>
      </c>
      <c r="P28" s="59" t="s">
        <v>104</v>
      </c>
      <c r="Q28" s="59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120" x14ac:dyDescent="0.25">
      <c r="A29" s="372"/>
      <c r="B29" s="373"/>
      <c r="C29" s="61" t="s">
        <v>105</v>
      </c>
      <c r="D29" s="64" t="s">
        <v>101</v>
      </c>
      <c r="E29" s="122">
        <v>2</v>
      </c>
      <c r="F29" s="122">
        <v>2</v>
      </c>
      <c r="G29" s="219">
        <f t="shared" si="0"/>
        <v>2</v>
      </c>
      <c r="H29" s="60">
        <v>2</v>
      </c>
      <c r="I29" s="60">
        <v>2</v>
      </c>
      <c r="J29" s="71">
        <f>K29</f>
        <v>153144.94</v>
      </c>
      <c r="K29" s="213">
        <f>151495.29+1649.65</f>
        <v>153144.94</v>
      </c>
      <c r="L29" s="217">
        <f>4001.99</f>
        <v>4001.99</v>
      </c>
      <c r="M29" s="70">
        <v>14567.32</v>
      </c>
      <c r="N29" s="71">
        <f>SUM(O29:R29)</f>
        <v>343428.5</v>
      </c>
      <c r="O29" s="71">
        <f>G29*K29</f>
        <v>306289.88</v>
      </c>
      <c r="P29" s="73">
        <f>G29*L29</f>
        <v>8003.98</v>
      </c>
      <c r="Q29" s="73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 x14ac:dyDescent="0.25">
      <c r="A30" s="372"/>
      <c r="B30" s="285"/>
      <c r="C30" s="304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03">
        <f t="shared" ref="O30:U30" si="7">SUM(O24:O29)</f>
        <v>11310964.57</v>
      </c>
      <c r="P30" s="103">
        <f t="shared" si="7"/>
        <v>1124559.19</v>
      </c>
      <c r="Q30" s="103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" customHeight="1" x14ac:dyDescent="0.25">
      <c r="A31" s="372"/>
      <c r="B31" s="374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6">
        <f>41240.72+1998.78</f>
        <v>43239.5</v>
      </c>
      <c r="L31" s="217">
        <f>4001.99</f>
        <v>4001.99</v>
      </c>
      <c r="M31" s="70">
        <v>14934.34</v>
      </c>
      <c r="N31" s="73">
        <f>SUM(O31:R31)</f>
        <v>1430044.09</v>
      </c>
      <c r="O31" s="73">
        <f>G31*K31</f>
        <v>994508.5</v>
      </c>
      <c r="P31" s="73">
        <f>G31*L31</f>
        <v>92045.76999999999</v>
      </c>
      <c r="Q31" s="73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90" x14ac:dyDescent="0.25">
      <c r="A32" s="372"/>
      <c r="B32" s="375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123"/>
      <c r="T32" s="46"/>
      <c r="U32" s="46"/>
    </row>
    <row r="33" spans="1:24" x14ac:dyDescent="0.25">
      <c r="A33" s="372"/>
      <c r="B33" s="375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71">
        <f>G33*K33</f>
        <v>92591.35</v>
      </c>
      <c r="P33" s="59" t="s">
        <v>104</v>
      </c>
      <c r="Q33" s="59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4" ht="120" x14ac:dyDescent="0.25">
      <c r="A34" s="372"/>
      <c r="B34" s="375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13"/>
      <c r="L34" s="185"/>
      <c r="M34" s="73"/>
      <c r="N34" s="73"/>
      <c r="O34" s="73"/>
      <c r="P34" s="73"/>
      <c r="Q34" s="73"/>
      <c r="R34" s="73"/>
      <c r="S34" s="213"/>
      <c r="T34" s="46">
        <f>H34*J34</f>
        <v>0</v>
      </c>
      <c r="U34" s="46">
        <f>I34*J34</f>
        <v>0</v>
      </c>
      <c r="W34" s="192">
        <f>T46-W33</f>
        <v>2124205.4400000051</v>
      </c>
    </row>
    <row r="35" spans="1:24" ht="92.45" customHeight="1" x14ac:dyDescent="0.25">
      <c r="A35" s="372"/>
      <c r="B35" s="376"/>
      <c r="C35" s="61" t="s">
        <v>252</v>
      </c>
      <c r="D35" s="64" t="s">
        <v>101</v>
      </c>
      <c r="E35" s="122">
        <f>65+19</f>
        <v>84</v>
      </c>
      <c r="F35" s="122">
        <f>65+19</f>
        <v>84</v>
      </c>
      <c r="G35" s="123">
        <f>((E35*8)+(F35*4))/12</f>
        <v>84</v>
      </c>
      <c r="H35" s="60">
        <v>84</v>
      </c>
      <c r="I35" s="60">
        <v>84</v>
      </c>
      <c r="J35" s="73">
        <f>K35+L35</f>
        <v>38383.49</v>
      </c>
      <c r="K35" s="213">
        <f>32382.72+1998.78</f>
        <v>34381.5</v>
      </c>
      <c r="L35" s="217">
        <f>4001.99</f>
        <v>4001.99</v>
      </c>
      <c r="M35" s="70">
        <v>14934.34</v>
      </c>
      <c r="N35" s="73">
        <f>SUM(O35:R35)</f>
        <v>4478697.7200000007</v>
      </c>
      <c r="O35" s="73">
        <f>G35*K35</f>
        <v>2888046</v>
      </c>
      <c r="P35" s="73">
        <f>G35*L35</f>
        <v>336167.16</v>
      </c>
      <c r="Q35" s="59" t="s">
        <v>104</v>
      </c>
      <c r="R35" s="71">
        <f>M35*G35</f>
        <v>1254484.56</v>
      </c>
      <c r="S35" s="123" t="s">
        <v>104</v>
      </c>
      <c r="T35" s="46">
        <f>N35</f>
        <v>4478697.7200000007</v>
      </c>
      <c r="U35" s="46">
        <f>T35</f>
        <v>4478697.7200000007</v>
      </c>
    </row>
    <row r="36" spans="1:24" x14ac:dyDescent="0.25">
      <c r="A36" s="372"/>
      <c r="B36" s="285"/>
      <c r="C36" s="304" t="s">
        <v>106</v>
      </c>
      <c r="D36" s="64"/>
      <c r="E36" s="122">
        <f>E31+E35</f>
        <v>107</v>
      </c>
      <c r="F36" s="122">
        <f>F31+F35</f>
        <v>107</v>
      </c>
      <c r="G36" s="122">
        <f>G31+G35</f>
        <v>107</v>
      </c>
      <c r="H36" s="60">
        <f>H31+H35</f>
        <v>107</v>
      </c>
      <c r="I36" s="60">
        <f>I31+I35</f>
        <v>107</v>
      </c>
      <c r="J36" s="73" t="s">
        <v>104</v>
      </c>
      <c r="K36" s="213" t="s">
        <v>104</v>
      </c>
      <c r="L36" s="213" t="s">
        <v>104</v>
      </c>
      <c r="M36" s="73" t="s">
        <v>104</v>
      </c>
      <c r="N36" s="103">
        <f>SUM(N31:N35)</f>
        <v>6001333.1600000011</v>
      </c>
      <c r="O36" s="103">
        <f>SUM(O31:O35)</f>
        <v>3975145.85</v>
      </c>
      <c r="P36" s="103">
        <f>SUM(P31:P35)</f>
        <v>428212.92999999993</v>
      </c>
      <c r="Q36" s="103"/>
      <c r="R36" s="103">
        <f>SUM(R31:R35)</f>
        <v>1597974.3800000001</v>
      </c>
      <c r="S36" s="185"/>
      <c r="T36" s="185">
        <f>SUM(T31:T35)</f>
        <v>6001333.1600000011</v>
      </c>
      <c r="U36" s="185">
        <f>SUM(U31:U35)</f>
        <v>6001333.1600000011</v>
      </c>
    </row>
    <row r="37" spans="1:24" ht="100.9" customHeight="1" x14ac:dyDescent="0.25">
      <c r="A37" s="372"/>
      <c r="B37" s="137" t="s">
        <v>240</v>
      </c>
      <c r="C37" s="61" t="s">
        <v>187</v>
      </c>
      <c r="D37" s="64" t="s">
        <v>101</v>
      </c>
      <c r="E37" s="122">
        <v>911</v>
      </c>
      <c r="F37" s="122">
        <v>911</v>
      </c>
      <c r="G37" s="123">
        <f>((E37*8)+(F37*4))/12</f>
        <v>911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13" t="s">
        <v>104</v>
      </c>
      <c r="M37" s="73" t="s">
        <v>104</v>
      </c>
      <c r="N37" s="73">
        <f>SUM(O37:R37)</f>
        <v>3624623.03</v>
      </c>
      <c r="O37" s="73">
        <f>J37*G37</f>
        <v>3624623.03</v>
      </c>
      <c r="P37" s="73" t="s">
        <v>104</v>
      </c>
      <c r="Q37" s="73"/>
      <c r="R37" s="73" t="s">
        <v>104</v>
      </c>
      <c r="S37" s="213"/>
      <c r="T37" s="46">
        <f>N37</f>
        <v>3624623.03</v>
      </c>
      <c r="U37" s="46">
        <f>T37</f>
        <v>3624623.03</v>
      </c>
    </row>
    <row r="38" spans="1:24" x14ac:dyDescent="0.25">
      <c r="A38" s="372"/>
      <c r="B38" s="69"/>
      <c r="C38" s="304" t="s">
        <v>106</v>
      </c>
      <c r="D38" s="69"/>
      <c r="E38" s="122">
        <f>SUM(E37:E37)</f>
        <v>911</v>
      </c>
      <c r="F38" s="122">
        <f>SUM(F37:F37)</f>
        <v>911</v>
      </c>
      <c r="G38" s="123">
        <f>G37</f>
        <v>911</v>
      </c>
      <c r="H38" s="60">
        <f>SUM(H37:H37)</f>
        <v>911</v>
      </c>
      <c r="I38" s="60">
        <f>SUM(I37:I37)</f>
        <v>911</v>
      </c>
      <c r="J38" s="73" t="s">
        <v>104</v>
      </c>
      <c r="K38" s="213" t="s">
        <v>104</v>
      </c>
      <c r="L38" s="213" t="s">
        <v>104</v>
      </c>
      <c r="M38" s="74">
        <f t="shared" ref="M38:U38" si="8">SUM(M37:M37)</f>
        <v>0</v>
      </c>
      <c r="N38" s="103">
        <f t="shared" si="8"/>
        <v>3624623.03</v>
      </c>
      <c r="O38" s="74">
        <f t="shared" si="8"/>
        <v>3624623.03</v>
      </c>
      <c r="P38" s="74">
        <f t="shared" si="8"/>
        <v>0</v>
      </c>
      <c r="Q38" s="74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4" ht="27" hidden="1" customHeight="1" x14ac:dyDescent="0.25">
      <c r="A39" s="372"/>
      <c r="B39" s="196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13"/>
      <c r="L39" s="213"/>
      <c r="M39" s="74"/>
      <c r="N39" s="74">
        <f>P39</f>
        <v>0</v>
      </c>
      <c r="O39" s="74"/>
      <c r="P39" s="74"/>
      <c r="Q39" s="74"/>
      <c r="R39" s="74"/>
      <c r="S39" s="185"/>
      <c r="T39" s="185">
        <f>P39</f>
        <v>0</v>
      </c>
      <c r="U39" s="185">
        <f>T39</f>
        <v>0</v>
      </c>
    </row>
    <row r="40" spans="1:24" ht="13.9" hidden="1" customHeight="1" x14ac:dyDescent="0.25">
      <c r="A40" s="372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13"/>
      <c r="L40" s="213"/>
      <c r="M40" s="74"/>
      <c r="N40" s="74">
        <f>S40</f>
        <v>0</v>
      </c>
      <c r="O40" s="74"/>
      <c r="P40" s="74"/>
      <c r="Q40" s="74"/>
      <c r="R40" s="74"/>
      <c r="S40" s="185"/>
      <c r="T40" s="185">
        <f>S40</f>
        <v>0</v>
      </c>
      <c r="U40" s="185">
        <f>T40</f>
        <v>0</v>
      </c>
    </row>
    <row r="41" spans="1:24" ht="13.9" hidden="1" customHeight="1" x14ac:dyDescent="0.25">
      <c r="A41" s="372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13"/>
      <c r="L41" s="213"/>
      <c r="M41" s="74"/>
      <c r="N41" s="74"/>
      <c r="O41" s="74"/>
      <c r="P41" s="74"/>
      <c r="Q41" s="74"/>
      <c r="R41" s="74"/>
      <c r="S41" s="185"/>
      <c r="T41" s="185">
        <f>Q41</f>
        <v>0</v>
      </c>
      <c r="U41" s="185">
        <f>T41</f>
        <v>0</v>
      </c>
    </row>
    <row r="42" spans="1:24" ht="13.9" hidden="1" customHeight="1" x14ac:dyDescent="0.25">
      <c r="A42" s="372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13"/>
      <c r="L42" s="213"/>
      <c r="M42" s="74"/>
      <c r="N42" s="74">
        <f>S42</f>
        <v>0</v>
      </c>
      <c r="O42" s="74"/>
      <c r="P42" s="74"/>
      <c r="Q42" s="74"/>
      <c r="R42" s="74"/>
      <c r="S42" s="185"/>
      <c r="T42" s="185"/>
      <c r="U42" s="185"/>
    </row>
    <row r="43" spans="1:24" x14ac:dyDescent="0.25">
      <c r="A43" s="372"/>
      <c r="B43" s="89" t="s">
        <v>291</v>
      </c>
      <c r="C43" s="181" t="s">
        <v>226</v>
      </c>
      <c r="D43" s="64"/>
      <c r="E43" s="122">
        <v>27</v>
      </c>
      <c r="F43" s="122">
        <v>27</v>
      </c>
      <c r="G43" s="123">
        <v>27</v>
      </c>
      <c r="H43" s="59">
        <v>27</v>
      </c>
      <c r="I43" s="59">
        <v>27</v>
      </c>
      <c r="J43" s="73"/>
      <c r="K43" s="213"/>
      <c r="L43" s="213"/>
      <c r="M43" s="74"/>
      <c r="N43" s="74">
        <f>O43</f>
        <v>3163860</v>
      </c>
      <c r="O43" s="74">
        <v>3163860</v>
      </c>
      <c r="P43" s="74"/>
      <c r="Q43" s="74"/>
      <c r="R43" s="74"/>
      <c r="S43" s="185"/>
      <c r="T43" s="185">
        <v>3163860</v>
      </c>
      <c r="U43" s="185">
        <f>T43</f>
        <v>3163860</v>
      </c>
    </row>
    <row r="44" spans="1:24" ht="13.9" hidden="1" customHeight="1" x14ac:dyDescent="0.25">
      <c r="A44" s="372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13"/>
      <c r="L44" s="213"/>
      <c r="M44" s="74"/>
      <c r="N44" s="74">
        <f>O44</f>
        <v>0</v>
      </c>
      <c r="O44" s="74"/>
      <c r="P44" s="74"/>
      <c r="Q44" s="74"/>
      <c r="R44" s="74"/>
      <c r="S44" s="185"/>
      <c r="T44" s="185">
        <f>O44</f>
        <v>0</v>
      </c>
      <c r="U44" s="185">
        <f>T44</f>
        <v>0</v>
      </c>
    </row>
    <row r="45" spans="1:24" ht="13.9" hidden="1" customHeight="1" x14ac:dyDescent="0.25">
      <c r="A45" s="372"/>
      <c r="B45" s="89" t="s">
        <v>292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13"/>
      <c r="L45" s="213"/>
      <c r="M45" s="74"/>
      <c r="N45" s="74">
        <f>P45</f>
        <v>0</v>
      </c>
      <c r="O45" s="74"/>
      <c r="P45" s="74"/>
      <c r="Q45" s="74"/>
      <c r="R45" s="74"/>
      <c r="S45" s="185"/>
      <c r="T45" s="185"/>
      <c r="U45" s="185">
        <f>T45</f>
        <v>0</v>
      </c>
    </row>
    <row r="46" spans="1:24" x14ac:dyDescent="0.25">
      <c r="A46" s="372"/>
      <c r="B46" s="101" t="s">
        <v>112</v>
      </c>
      <c r="C46" s="101"/>
      <c r="D46" s="69"/>
      <c r="E46" s="220">
        <f>E23+E30+E36</f>
        <v>703</v>
      </c>
      <c r="F46" s="225">
        <f>F23+F30+F36</f>
        <v>703</v>
      </c>
      <c r="G46" s="220">
        <f>G23+G30+G36</f>
        <v>703</v>
      </c>
      <c r="H46" s="102">
        <f>H23+H30+H36</f>
        <v>703</v>
      </c>
      <c r="I46" s="102">
        <f>I23+I30+I36</f>
        <v>703</v>
      </c>
      <c r="J46" s="104"/>
      <c r="K46" s="227"/>
      <c r="L46" s="138"/>
      <c r="M46" s="103"/>
      <c r="N46" s="103">
        <f>SUM(O46:S46)+0.01</f>
        <v>46526788.480000004</v>
      </c>
      <c r="O46" s="103">
        <f>O23+O30+O36+O38+O43+O44</f>
        <v>33512949.900000006</v>
      </c>
      <c r="P46" s="103">
        <f>P23+P30+P36+P38+P39+P40+P41+P45</f>
        <v>2813398.9699999997</v>
      </c>
      <c r="Q46" s="103">
        <f>Q23+Q30+Q36+Q38+Q39+Q40+Q41</f>
        <v>0</v>
      </c>
      <c r="R46" s="103">
        <f>R23+R30+R36+R38+R39+R40+R41+R42</f>
        <v>10200439.600000001</v>
      </c>
      <c r="S46" s="138">
        <f>S23+S30+S36+S38+S39+S40+S41+S42</f>
        <v>0</v>
      </c>
      <c r="T46" s="138">
        <f>T23+T30+T36+T38+T39+T40+T41+T42+T43+T44+T45+0.01</f>
        <v>46526788.480000004</v>
      </c>
      <c r="U46" s="138">
        <f>U23+U30+U36+U38+U39+U40+U41+U42+U43+U44+U45+0.01</f>
        <v>46526788.480000004</v>
      </c>
      <c r="V46" s="182">
        <v>10041727.25</v>
      </c>
      <c r="W46" s="192">
        <f>V46-R46</f>
        <v>-158712.35000000149</v>
      </c>
      <c r="X46" s="182">
        <f>W46/G46</f>
        <v>-225.76436699857965</v>
      </c>
    </row>
    <row r="47" spans="1:24" ht="82.9" customHeight="1" x14ac:dyDescent="0.25">
      <c r="A47" s="397" t="s">
        <v>113</v>
      </c>
      <c r="B47" s="373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6">
        <f>23258.45+1351.63</f>
        <v>24610.080000000002</v>
      </c>
      <c r="L47" s="217">
        <f>4001.99</f>
        <v>4001.99</v>
      </c>
      <c r="M47" s="70">
        <v>14314.24</v>
      </c>
      <c r="N47" s="71">
        <f>SUM(O47:R47)</f>
        <v>10989135.74</v>
      </c>
      <c r="O47" s="71">
        <f>G47*K47</f>
        <v>6300180.4800000004</v>
      </c>
      <c r="P47" s="71">
        <f>G47*L47</f>
        <v>1024509.4399999999</v>
      </c>
      <c r="Q47" s="71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4" ht="90" x14ac:dyDescent="0.25">
      <c r="A48" s="397"/>
      <c r="B48" s="373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123"/>
      <c r="T48" s="46"/>
      <c r="U48" s="46"/>
    </row>
    <row r="49" spans="1:21" x14ac:dyDescent="0.25">
      <c r="A49" s="397"/>
      <c r="B49" s="373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11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71">
        <f>G49*K49</f>
        <v>486379.18000000005</v>
      </c>
      <c r="P49" s="59" t="s">
        <v>104</v>
      </c>
      <c r="Q49" s="59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 x14ac:dyDescent="0.25">
      <c r="A50" s="397"/>
      <c r="B50" s="373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71">
        <f t="shared" ref="O50:O54" si="14">G50*K50</f>
        <v>997220.99999999988</v>
      </c>
      <c r="P50" s="59" t="s">
        <v>104</v>
      </c>
      <c r="Q50" s="59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 x14ac:dyDescent="0.25">
      <c r="A51" s="397"/>
      <c r="B51" s="373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71">
        <f t="shared" si="14"/>
        <v>0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 x14ac:dyDescent="0.25">
      <c r="A52" s="397"/>
      <c r="B52" s="373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71">
        <f t="shared" si="14"/>
        <v>199541.84</v>
      </c>
      <c r="P52" s="59" t="s">
        <v>104</v>
      </c>
      <c r="Q52" s="59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 x14ac:dyDescent="0.25">
      <c r="A53" s="397"/>
      <c r="B53" s="373"/>
      <c r="C53" s="63" t="s">
        <v>319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71">
        <f t="shared" si="14"/>
        <v>1488394.65</v>
      </c>
      <c r="P53" s="59"/>
      <c r="Q53" s="59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 x14ac:dyDescent="0.25">
      <c r="A54" s="397"/>
      <c r="B54" s="373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71">
        <f t="shared" si="14"/>
        <v>0</v>
      </c>
      <c r="P54" s="59" t="s">
        <v>104</v>
      </c>
      <c r="Q54" s="59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120" x14ac:dyDescent="0.25">
      <c r="A55" s="397"/>
      <c r="B55" s="373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7">
        <f>4001.99</f>
        <v>4001.99</v>
      </c>
      <c r="M55" s="70">
        <v>14314.24</v>
      </c>
      <c r="N55" s="71">
        <f>SUM(O55:R55)</f>
        <v>141179.59</v>
      </c>
      <c r="O55" s="71">
        <f>G55*K55</f>
        <v>122863.36</v>
      </c>
      <c r="P55" s="71">
        <f>G55*L55</f>
        <v>4001.99</v>
      </c>
      <c r="Q55" s="71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 x14ac:dyDescent="0.25">
      <c r="A56" s="397"/>
      <c r="B56" s="373"/>
      <c r="C56" s="304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11" t="s">
        <v>104</v>
      </c>
      <c r="L56" s="211" t="s">
        <v>104</v>
      </c>
      <c r="M56" s="71" t="s">
        <v>104</v>
      </c>
      <c r="N56" s="118">
        <f>SUM(N47:N55)</f>
        <v>14301852</v>
      </c>
      <c r="O56" s="71">
        <f>SUM(O47:O55)</f>
        <v>9594580.5099999998</v>
      </c>
      <c r="P56" s="71">
        <f>SUM(P47:P55)</f>
        <v>1028511.4299999999</v>
      </c>
      <c r="Q56" s="71"/>
      <c r="R56" s="118">
        <f>SUM(R47:R55)</f>
        <v>3678760.06</v>
      </c>
      <c r="S56" s="211"/>
      <c r="T56" s="46">
        <f>SUM(T47:T55)</f>
        <v>14301852</v>
      </c>
      <c r="U56" s="46">
        <f>SUM(U47:U55)</f>
        <v>14301852</v>
      </c>
    </row>
    <row r="57" spans="1:21" ht="82.9" customHeight="1" x14ac:dyDescent="0.25">
      <c r="A57" s="397"/>
      <c r="B57" s="373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6">
        <f>34483.05+1649.65</f>
        <v>36132.700000000004</v>
      </c>
      <c r="L57" s="217">
        <f>4001.99</f>
        <v>4001.99</v>
      </c>
      <c r="M57" s="70">
        <v>14567.32</v>
      </c>
      <c r="N57" s="71">
        <f>SUM(O57:R57)</f>
        <v>11268614.060000001</v>
      </c>
      <c r="O57" s="71">
        <f>G57*K57</f>
        <v>7443336.2000000011</v>
      </c>
      <c r="P57" s="71">
        <f>G57*L57</f>
        <v>824409.94</v>
      </c>
      <c r="Q57" s="71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90" x14ac:dyDescent="0.25">
      <c r="A58" s="397"/>
      <c r="B58" s="373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71"/>
      <c r="P58" s="59" t="s">
        <v>104</v>
      </c>
      <c r="Q58" s="59"/>
      <c r="R58" s="59" t="s">
        <v>104</v>
      </c>
      <c r="S58" s="123"/>
      <c r="T58" s="46"/>
      <c r="U58" s="46"/>
    </row>
    <row r="59" spans="1:21" x14ac:dyDescent="0.25">
      <c r="A59" s="397"/>
      <c r="B59" s="373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11">
        <v>92591.35</v>
      </c>
      <c r="L59" s="123" t="s">
        <v>104</v>
      </c>
      <c r="M59" s="59" t="s">
        <v>104</v>
      </c>
      <c r="N59" s="71">
        <f>O59</f>
        <v>92591.35</v>
      </c>
      <c r="O59" s="71">
        <f>G59*K59</f>
        <v>92591.35</v>
      </c>
      <c r="P59" s="59"/>
      <c r="Q59" s="59"/>
      <c r="R59" s="59"/>
      <c r="S59" s="123"/>
      <c r="T59" s="46">
        <f>H59*K59</f>
        <v>92591.35</v>
      </c>
      <c r="U59" s="46">
        <f>I59*K59</f>
        <v>92591.35</v>
      </c>
    </row>
    <row r="60" spans="1:21" x14ac:dyDescent="0.25">
      <c r="A60" s="397"/>
      <c r="B60" s="373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11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71">
        <f t="shared" ref="O60:O63" si="15">G60*K60</f>
        <v>529607.19999999995</v>
      </c>
      <c r="P60" s="59"/>
      <c r="Q60" s="59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 x14ac:dyDescent="0.25">
      <c r="A61" s="397"/>
      <c r="B61" s="373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71">
        <f t="shared" si="15"/>
        <v>0</v>
      </c>
      <c r="P61" s="59" t="s">
        <v>104</v>
      </c>
      <c r="Q61" s="59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 x14ac:dyDescent="0.25">
      <c r="A62" s="397"/>
      <c r="B62" s="373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71">
        <f t="shared" si="15"/>
        <v>32894.53</v>
      </c>
      <c r="P62" s="59" t="s">
        <v>104</v>
      </c>
      <c r="Q62" s="59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 x14ac:dyDescent="0.25">
      <c r="A63" s="397"/>
      <c r="B63" s="373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71">
        <f t="shared" si="15"/>
        <v>47357.58</v>
      </c>
      <c r="P63" s="59" t="s">
        <v>104</v>
      </c>
      <c r="Q63" s="59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120" x14ac:dyDescent="0.25">
      <c r="A64" s="397"/>
      <c r="B64" s="373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7">
        <f>4001.99</f>
        <v>4001.99</v>
      </c>
      <c r="M64" s="70">
        <v>14567.32</v>
      </c>
      <c r="N64" s="71">
        <f>SUM(O64:R64)</f>
        <v>171714.25</v>
      </c>
      <c r="O64" s="71">
        <f>G64*K64</f>
        <v>153144.94</v>
      </c>
      <c r="P64" s="73">
        <f>G64*L64</f>
        <v>4001.99</v>
      </c>
      <c r="Q64" s="73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4" x14ac:dyDescent="0.25">
      <c r="A65" s="397"/>
      <c r="B65" s="285"/>
      <c r="C65" s="304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13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74">
        <f t="shared" si="16"/>
        <v>8298931.8000000017</v>
      </c>
      <c r="P65" s="74">
        <f t="shared" si="16"/>
        <v>828411.92999999993</v>
      </c>
      <c r="Q65" s="74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4" ht="82.9" customHeight="1" x14ac:dyDescent="0.25">
      <c r="A66" s="397"/>
      <c r="B66" s="373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6">
        <f>41240.72+1998.78</f>
        <v>43239.5</v>
      </c>
      <c r="L66" s="217">
        <f>4001.99</f>
        <v>4001.99</v>
      </c>
      <c r="M66" s="70">
        <v>14934.34</v>
      </c>
      <c r="N66" s="73">
        <f>SUM(O66:R66)</f>
        <v>2860088.18</v>
      </c>
      <c r="O66" s="73">
        <f>G66*K66</f>
        <v>1989017</v>
      </c>
      <c r="P66" s="73">
        <f>G66*L66</f>
        <v>184091.53999999998</v>
      </c>
      <c r="Q66" s="73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4" ht="90" x14ac:dyDescent="0.25">
      <c r="A67" s="397"/>
      <c r="B67" s="373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71"/>
      <c r="P67" s="59" t="s">
        <v>104</v>
      </c>
      <c r="Q67" s="59"/>
      <c r="R67" s="59" t="s">
        <v>104</v>
      </c>
      <c r="S67" s="123"/>
      <c r="T67" s="46"/>
      <c r="U67" s="46"/>
    </row>
    <row r="68" spans="1:24" x14ac:dyDescent="0.25">
      <c r="A68" s="397"/>
      <c r="B68" s="373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71">
        <f>G68*K68</f>
        <v>23678.79</v>
      </c>
      <c r="P68" s="59" t="s">
        <v>104</v>
      </c>
      <c r="Q68" s="59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4" ht="120" x14ac:dyDescent="0.25">
      <c r="A69" s="397"/>
      <c r="B69" s="373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13">
        <f>181478.86+1998.78</f>
        <v>183477.63999999998</v>
      </c>
      <c r="L69" s="217">
        <f>4001.99</f>
        <v>4001.99</v>
      </c>
      <c r="M69" s="70">
        <v>14934.34</v>
      </c>
      <c r="N69" s="71">
        <f>SUM(O69:R69)</f>
        <v>0</v>
      </c>
      <c r="O69" s="73">
        <f>G69*K69</f>
        <v>0</v>
      </c>
      <c r="P69" s="73">
        <f>E69*L69*3.080014262</f>
        <v>0</v>
      </c>
      <c r="Q69" s="73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-2785807.8299999982</v>
      </c>
    </row>
    <row r="70" spans="1:24" x14ac:dyDescent="0.25">
      <c r="A70" s="397"/>
      <c r="B70" s="285"/>
      <c r="C70" s="304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13" t="s">
        <v>104</v>
      </c>
      <c r="L70" s="185" t="s">
        <v>104</v>
      </c>
      <c r="M70" s="74" t="s">
        <v>104</v>
      </c>
      <c r="N70" s="103">
        <f>SUM(N66:N69)</f>
        <v>2883766.97</v>
      </c>
      <c r="O70" s="74">
        <f>SUM(O66:O69)</f>
        <v>2012695.79</v>
      </c>
      <c r="P70" s="74">
        <f>SUM(P66:P69)</f>
        <v>184091.53999999998</v>
      </c>
      <c r="Q70" s="74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4" ht="100.9" customHeight="1" x14ac:dyDescent="0.25">
      <c r="A71" s="397"/>
      <c r="B71" s="137" t="s">
        <v>240</v>
      </c>
      <c r="C71" s="61" t="s">
        <v>187</v>
      </c>
      <c r="D71" s="64" t="s">
        <v>101</v>
      </c>
      <c r="E71" s="122">
        <v>879</v>
      </c>
      <c r="F71" s="122">
        <v>879</v>
      </c>
      <c r="G71" s="123">
        <f>((E71*8)+(F71*4))/12</f>
        <v>879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3497303.67</v>
      </c>
      <c r="O71" s="73">
        <f>K71*G71</f>
        <v>3497303.67</v>
      </c>
      <c r="P71" s="73" t="s">
        <v>104</v>
      </c>
      <c r="Q71" s="73"/>
      <c r="R71" s="73" t="s">
        <v>104</v>
      </c>
      <c r="S71" s="213"/>
      <c r="T71" s="46">
        <f>N71</f>
        <v>3497303.67</v>
      </c>
      <c r="U71" s="46">
        <f t="shared" ref="U71:U78" si="17">T71</f>
        <v>3497303.67</v>
      </c>
    </row>
    <row r="72" spans="1:24" x14ac:dyDescent="0.25">
      <c r="A72" s="397"/>
      <c r="B72" s="69"/>
      <c r="C72" s="304" t="s">
        <v>106</v>
      </c>
      <c r="D72" s="69"/>
      <c r="E72" s="122">
        <f>SUM(E71:E71)</f>
        <v>879</v>
      </c>
      <c r="F72" s="122">
        <f>SUM(F71:F71)</f>
        <v>879</v>
      </c>
      <c r="G72" s="122">
        <f>SUM(G71:G71)</f>
        <v>879</v>
      </c>
      <c r="H72" s="60">
        <f>SUM(H71:H71)</f>
        <v>879</v>
      </c>
      <c r="I72" s="60">
        <f>SUM(I71:I71)</f>
        <v>879</v>
      </c>
      <c r="J72" s="73" t="s">
        <v>104</v>
      </c>
      <c r="K72" s="213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3497303.67</v>
      </c>
      <c r="O72" s="74">
        <f>SUM(O71:O71)</f>
        <v>3497303.67</v>
      </c>
      <c r="P72" s="74">
        <f t="shared" si="18"/>
        <v>0</v>
      </c>
      <c r="Q72" s="74"/>
      <c r="R72" s="74">
        <f t="shared" si="18"/>
        <v>0</v>
      </c>
      <c r="S72" s="185"/>
      <c r="T72" s="46">
        <f>N72</f>
        <v>3497303.67</v>
      </c>
      <c r="U72" s="46">
        <f t="shared" si="17"/>
        <v>3497303.67</v>
      </c>
    </row>
    <row r="73" spans="1:24" ht="13.9" hidden="1" customHeight="1" x14ac:dyDescent="0.25">
      <c r="A73" s="397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13"/>
      <c r="L73" s="185"/>
      <c r="M73" s="74"/>
      <c r="N73" s="74">
        <f>P73</f>
        <v>0</v>
      </c>
      <c r="O73" s="74"/>
      <c r="P73" s="74"/>
      <c r="Q73" s="74"/>
      <c r="R73" s="74"/>
      <c r="S73" s="185"/>
      <c r="T73" s="46">
        <f>P73</f>
        <v>0</v>
      </c>
      <c r="U73" s="46">
        <f t="shared" si="17"/>
        <v>0</v>
      </c>
    </row>
    <row r="74" spans="1:24" ht="13.9" hidden="1" customHeight="1" x14ac:dyDescent="0.25">
      <c r="A74" s="397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13"/>
      <c r="L74" s="185"/>
      <c r="M74" s="74"/>
      <c r="N74" s="74">
        <f>S74</f>
        <v>0</v>
      </c>
      <c r="O74" s="74"/>
      <c r="P74" s="74"/>
      <c r="Q74" s="74"/>
      <c r="R74" s="74"/>
      <c r="S74" s="185"/>
      <c r="T74" s="46">
        <f>S74</f>
        <v>0</v>
      </c>
      <c r="U74" s="46">
        <f t="shared" si="17"/>
        <v>0</v>
      </c>
    </row>
    <row r="75" spans="1:24" ht="13.9" hidden="1" customHeight="1" x14ac:dyDescent="0.25">
      <c r="A75" s="397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13"/>
      <c r="L75" s="185"/>
      <c r="M75" s="74"/>
      <c r="N75" s="74">
        <f>Q75</f>
        <v>0</v>
      </c>
      <c r="O75" s="74"/>
      <c r="P75" s="74"/>
      <c r="Q75" s="74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4" ht="13.9" hidden="1" customHeight="1" x14ac:dyDescent="0.25">
      <c r="A76" s="397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13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/>
      <c r="U76" s="46"/>
    </row>
    <row r="77" spans="1:24" x14ac:dyDescent="0.25">
      <c r="A77" s="397"/>
      <c r="B77" s="89" t="s">
        <v>291</v>
      </c>
      <c r="C77" s="181" t="s">
        <v>226</v>
      </c>
      <c r="D77" s="64"/>
      <c r="E77" s="122">
        <v>22</v>
      </c>
      <c r="F77" s="122">
        <v>22</v>
      </c>
      <c r="G77" s="122">
        <v>22</v>
      </c>
      <c r="H77" s="60">
        <v>22</v>
      </c>
      <c r="I77" s="60">
        <v>22</v>
      </c>
      <c r="J77" s="73"/>
      <c r="K77" s="213"/>
      <c r="L77" s="185"/>
      <c r="M77" s="74"/>
      <c r="N77" s="74">
        <f>O77</f>
        <v>2577960</v>
      </c>
      <c r="O77" s="74">
        <v>2577960</v>
      </c>
      <c r="P77" s="74"/>
      <c r="Q77" s="74"/>
      <c r="R77" s="74"/>
      <c r="S77" s="185"/>
      <c r="T77" s="46">
        <v>2577960</v>
      </c>
      <c r="U77" s="46">
        <f>T77</f>
        <v>2577960</v>
      </c>
    </row>
    <row r="78" spans="1:24" ht="13.9" hidden="1" customHeight="1" x14ac:dyDescent="0.25">
      <c r="A78" s="397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13"/>
      <c r="L78" s="185"/>
      <c r="M78" s="74"/>
      <c r="N78" s="74">
        <f>O78</f>
        <v>0</v>
      </c>
      <c r="O78" s="74"/>
      <c r="P78" s="74"/>
      <c r="Q78" s="74"/>
      <c r="R78" s="74"/>
      <c r="S78" s="185"/>
      <c r="T78" s="46">
        <f>O78</f>
        <v>0</v>
      </c>
      <c r="U78" s="46">
        <f t="shared" si="17"/>
        <v>0</v>
      </c>
    </row>
    <row r="79" spans="1:24" ht="13.9" hidden="1" customHeight="1" x14ac:dyDescent="0.25">
      <c r="A79" s="397"/>
      <c r="B79" s="89" t="s">
        <v>292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13"/>
      <c r="L79" s="185"/>
      <c r="M79" s="74"/>
      <c r="N79" s="74">
        <f>P79</f>
        <v>0</v>
      </c>
      <c r="O79" s="74"/>
      <c r="P79" s="74"/>
      <c r="Q79" s="74"/>
      <c r="R79" s="74"/>
      <c r="S79" s="185"/>
      <c r="T79" s="46"/>
      <c r="U79" s="46">
        <f>T79</f>
        <v>0</v>
      </c>
    </row>
    <row r="80" spans="1:24" x14ac:dyDescent="0.25">
      <c r="A80" s="397"/>
      <c r="B80" s="101" t="s">
        <v>112</v>
      </c>
      <c r="C80" s="101"/>
      <c r="D80" s="69"/>
      <c r="E80" s="220">
        <f>E56+E65+E70</f>
        <v>510</v>
      </c>
      <c r="F80" s="102">
        <f>F56+F65+F70</f>
        <v>510</v>
      </c>
      <c r="G80" s="220">
        <f>G56+G65+G70</f>
        <v>510</v>
      </c>
      <c r="H80" s="102">
        <f>H56+H65+H70</f>
        <v>510</v>
      </c>
      <c r="I80" s="102">
        <f>I56+I65+I70</f>
        <v>510</v>
      </c>
      <c r="J80" s="104"/>
      <c r="K80" s="227"/>
      <c r="L80" s="138"/>
      <c r="M80" s="103"/>
      <c r="N80" s="103">
        <f>SUM(O80:S80)</f>
        <v>35403661.609999999</v>
      </c>
      <c r="O80" s="103">
        <f>O56+O65+O70+O72+O77+O78</f>
        <v>25981471.770000003</v>
      </c>
      <c r="P80" s="103">
        <f>P56+P65+P70+P72+P73+P74+P75+P79</f>
        <v>2041014.9</v>
      </c>
      <c r="Q80" s="103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35403661.609999999</v>
      </c>
      <c r="U80" s="138">
        <f>U56+U65+U70+U72+U73+U74+U75+U76+U77+U78+U79</f>
        <v>35403661.609999999</v>
      </c>
      <c r="V80" s="192">
        <v>9512309.3499999996</v>
      </c>
      <c r="W80" s="192">
        <f>V80-R80</f>
        <v>2131134.41</v>
      </c>
      <c r="X80" s="182">
        <f>W80/G80</f>
        <v>4178.6949215686282</v>
      </c>
    </row>
    <row r="81" spans="1:21" ht="82.9" customHeight="1" x14ac:dyDescent="0.25">
      <c r="A81" s="372" t="s">
        <v>114</v>
      </c>
      <c r="B81" s="373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6">
        <f>23258.45+1351.63</f>
        <v>24610.080000000002</v>
      </c>
      <c r="L81" s="217">
        <f>4001.99</f>
        <v>4001.99</v>
      </c>
      <c r="M81" s="70">
        <v>14314.24</v>
      </c>
      <c r="N81" s="71">
        <f>SUM(O81:R81)</f>
        <v>10903283.120000001</v>
      </c>
      <c r="O81" s="71">
        <f>G81*K81</f>
        <v>6250960.3200000003</v>
      </c>
      <c r="P81" s="71">
        <f>G81*L81</f>
        <v>1016505.46</v>
      </c>
      <c r="Q81" s="71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90" x14ac:dyDescent="0.25">
      <c r="A82" s="372"/>
      <c r="B82" s="373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59"/>
      <c r="P82" s="59" t="s">
        <v>104</v>
      </c>
      <c r="Q82" s="59"/>
      <c r="R82" s="59" t="s">
        <v>104</v>
      </c>
      <c r="S82" s="123"/>
      <c r="T82" s="46"/>
      <c r="U82" s="46"/>
    </row>
    <row r="83" spans="1:21" x14ac:dyDescent="0.25">
      <c r="A83" s="372"/>
      <c r="B83" s="373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 x14ac:dyDescent="0.25">
      <c r="A84" s="372"/>
      <c r="B84" s="373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71">
        <f t="shared" ref="O84:O88" si="24">G84*K84</f>
        <v>77144.88</v>
      </c>
      <c r="P84" s="59" t="s">
        <v>104</v>
      </c>
      <c r="Q84" s="59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 x14ac:dyDescent="0.25">
      <c r="A85" s="372"/>
      <c r="B85" s="373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71">
        <f t="shared" si="24"/>
        <v>1181206.58</v>
      </c>
      <c r="P85" s="59" t="s">
        <v>104</v>
      </c>
      <c r="Q85" s="59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 x14ac:dyDescent="0.25">
      <c r="A86" s="372"/>
      <c r="B86" s="373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71">
        <f t="shared" si="24"/>
        <v>92591.35</v>
      </c>
      <c r="P86" s="59" t="s">
        <v>104</v>
      </c>
      <c r="Q86" s="59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 x14ac:dyDescent="0.25">
      <c r="A87" s="372"/>
      <c r="B87" s="373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71">
        <f t="shared" si="24"/>
        <v>398888.39999999997</v>
      </c>
      <c r="P87" s="59" t="s">
        <v>104</v>
      </c>
      <c r="Q87" s="59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 x14ac:dyDescent="0.25">
      <c r="A88" s="372"/>
      <c r="B88" s="373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71">
        <f t="shared" si="24"/>
        <v>0</v>
      </c>
      <c r="P88" s="59" t="s">
        <v>104</v>
      </c>
      <c r="Q88" s="59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120" x14ac:dyDescent="0.25">
      <c r="A89" s="372"/>
      <c r="B89" s="373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7">
        <f>4001.99</f>
        <v>4001.99</v>
      </c>
      <c r="M89" s="70">
        <v>14314.24</v>
      </c>
      <c r="N89" s="71">
        <f>SUM(O89:R89)</f>
        <v>141179.59</v>
      </c>
      <c r="O89" s="71">
        <f>G89*K89</f>
        <v>122863.36</v>
      </c>
      <c r="P89" s="71">
        <f>G89*L89</f>
        <v>4001.99</v>
      </c>
      <c r="Q89" s="71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 x14ac:dyDescent="0.25">
      <c r="A90" s="372"/>
      <c r="B90" s="373"/>
      <c r="C90" s="304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11" t="s">
        <v>104</v>
      </c>
      <c r="L90" s="211" t="s">
        <v>104</v>
      </c>
      <c r="M90" s="71" t="s">
        <v>104</v>
      </c>
      <c r="N90" s="118">
        <f t="shared" ref="N90:T90" si="25">SUM(N81:N89)</f>
        <v>12794293.920000002</v>
      </c>
      <c r="O90" s="71">
        <f t="shared" si="25"/>
        <v>8123654.8900000006</v>
      </c>
      <c r="P90" s="71">
        <f t="shared" si="25"/>
        <v>1020507.45</v>
      </c>
      <c r="Q90" s="71"/>
      <c r="R90" s="118">
        <f t="shared" si="25"/>
        <v>3650131.58</v>
      </c>
      <c r="S90" s="211"/>
      <c r="T90" s="211">
        <f t="shared" si="25"/>
        <v>12794293.920000002</v>
      </c>
      <c r="U90" s="211">
        <f>T90</f>
        <v>12794293.920000002</v>
      </c>
    </row>
    <row r="91" spans="1:21" ht="82.9" customHeight="1" x14ac:dyDescent="0.25">
      <c r="A91" s="372"/>
      <c r="B91" s="373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6">
        <f>34483.05+1649.65</f>
        <v>36132.700000000004</v>
      </c>
      <c r="L91" s="217">
        <f>4001.99</f>
        <v>4001.99</v>
      </c>
      <c r="M91" s="70">
        <v>14567.32</v>
      </c>
      <c r="N91" s="71">
        <f>SUM(O91:R91)</f>
        <v>11542124.110000001</v>
      </c>
      <c r="O91" s="71">
        <f>G91*K91</f>
        <v>7623999.7000000011</v>
      </c>
      <c r="P91" s="71">
        <f>G91*L91</f>
        <v>844419.8899999999</v>
      </c>
      <c r="Q91" s="71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90" x14ac:dyDescent="0.25">
      <c r="A92" s="372"/>
      <c r="B92" s="373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71"/>
      <c r="P92" s="59" t="s">
        <v>104</v>
      </c>
      <c r="Q92" s="59"/>
      <c r="R92" s="59" t="s">
        <v>104</v>
      </c>
      <c r="S92" s="123"/>
      <c r="T92" s="46"/>
      <c r="U92" s="46"/>
    </row>
    <row r="93" spans="1:21" x14ac:dyDescent="0.25">
      <c r="A93" s="372"/>
      <c r="B93" s="373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71">
        <f>G93*K93</f>
        <v>138965.48000000001</v>
      </c>
      <c r="P93" s="59" t="s">
        <v>104</v>
      </c>
      <c r="Q93" s="59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 x14ac:dyDescent="0.25">
      <c r="A94" s="372"/>
      <c r="B94" s="373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71">
        <f t="shared" ref="O94:O95" si="26">G94*K94</f>
        <v>0</v>
      </c>
      <c r="P94" s="59" t="s">
        <v>104</v>
      </c>
      <c r="Q94" s="59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 x14ac:dyDescent="0.25">
      <c r="A95" s="372"/>
      <c r="B95" s="373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71">
        <f t="shared" si="26"/>
        <v>23678.79</v>
      </c>
      <c r="P95" s="59" t="s">
        <v>104</v>
      </c>
      <c r="Q95" s="59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120" x14ac:dyDescent="0.25">
      <c r="A96" s="372"/>
      <c r="B96" s="373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7">
        <f>4001.99</f>
        <v>4001.99</v>
      </c>
      <c r="M96" s="70">
        <v>0</v>
      </c>
      <c r="N96" s="73">
        <f>SUM(O96:R96)</f>
        <v>0</v>
      </c>
      <c r="O96" s="71">
        <f>G96*K96</f>
        <v>0</v>
      </c>
      <c r="P96" s="73">
        <f>G96*L96</f>
        <v>0</v>
      </c>
      <c r="Q96" s="73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 x14ac:dyDescent="0.25">
      <c r="A97" s="372"/>
      <c r="B97" s="285"/>
      <c r="C97" s="304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13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74">
        <f t="shared" ref="O97:U97" si="27">SUM(O91:O96)</f>
        <v>7786643.9700000016</v>
      </c>
      <c r="P97" s="74">
        <f t="shared" si="27"/>
        <v>844419.8899999999</v>
      </c>
      <c r="Q97" s="74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" customHeight="1" x14ac:dyDescent="0.25">
      <c r="A98" s="372"/>
      <c r="B98" s="373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6">
        <f>41240.72+1998.78</f>
        <v>43239.5</v>
      </c>
      <c r="L98" s="217">
        <f>4001.99</f>
        <v>4001.99</v>
      </c>
      <c r="M98" s="70">
        <v>14934.34</v>
      </c>
      <c r="N98" s="73">
        <f>SUM(O98:R98)</f>
        <v>3792725.63</v>
      </c>
      <c r="O98" s="73">
        <f>G98*K98</f>
        <v>2637609.5</v>
      </c>
      <c r="P98" s="73">
        <f>G98*L98</f>
        <v>244121.38999999998</v>
      </c>
      <c r="Q98" s="73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90" x14ac:dyDescent="0.25">
      <c r="A99" s="372"/>
      <c r="B99" s="373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71"/>
      <c r="P99" s="59" t="s">
        <v>104</v>
      </c>
      <c r="Q99" s="59"/>
      <c r="R99" s="59" t="s">
        <v>104</v>
      </c>
      <c r="S99" s="123"/>
      <c r="T99" s="46"/>
      <c r="U99" s="46"/>
    </row>
    <row r="100" spans="1:23" x14ac:dyDescent="0.25">
      <c r="A100" s="372"/>
      <c r="B100" s="373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71">
        <f>G100*K100</f>
        <v>0</v>
      </c>
      <c r="P100" s="59" t="s">
        <v>104</v>
      </c>
      <c r="Q100" s="59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 x14ac:dyDescent="0.25">
      <c r="A101" s="372"/>
      <c r="B101" s="373"/>
      <c r="C101" s="63" t="s">
        <v>168</v>
      </c>
      <c r="D101" s="64" t="s">
        <v>101</v>
      </c>
      <c r="E101" s="122">
        <v>2</v>
      </c>
      <c r="F101" s="122">
        <v>2</v>
      </c>
      <c r="G101" s="221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71">
        <f>G101*K101</f>
        <v>47357.58</v>
      </c>
      <c r="P101" s="59" t="s">
        <v>104</v>
      </c>
      <c r="Q101" s="59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120" x14ac:dyDescent="0.25">
      <c r="A102" s="372"/>
      <c r="B102" s="373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7">
        <f>4001.99</f>
        <v>4001.99</v>
      </c>
      <c r="M102" s="70">
        <v>14934.34</v>
      </c>
      <c r="N102" s="73">
        <f>SUM(O102:R102)</f>
        <v>202413.96999999997</v>
      </c>
      <c r="O102" s="71">
        <f>G102*K102</f>
        <v>183477.63999999998</v>
      </c>
      <c r="P102" s="73">
        <f>G102*L102</f>
        <v>4001.99</v>
      </c>
      <c r="Q102" s="73"/>
      <c r="R102" s="75">
        <f>G102*M102</f>
        <v>14934.34</v>
      </c>
      <c r="S102" s="213"/>
      <c r="T102" s="46">
        <f>H102*J102</f>
        <v>202413.96999999997</v>
      </c>
      <c r="U102" s="46">
        <f>I102*J102</f>
        <v>202413.96999999997</v>
      </c>
    </row>
    <row r="103" spans="1:23" x14ac:dyDescent="0.25">
      <c r="A103" s="372"/>
      <c r="B103" s="285"/>
      <c r="C103" s="304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13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74">
        <f>SUM(O98:O102)</f>
        <v>2868444.72</v>
      </c>
      <c r="P103" s="74">
        <f t="shared" ref="P103:U103" si="28">SUM(P98:P102)</f>
        <v>248123.37999999998</v>
      </c>
      <c r="Q103" s="74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-657106.03999999166</v>
      </c>
    </row>
    <row r="104" spans="1:23" ht="100.15" customHeight="1" x14ac:dyDescent="0.25">
      <c r="A104" s="372"/>
      <c r="B104" s="137" t="s">
        <v>240</v>
      </c>
      <c r="C104" s="61" t="s">
        <v>187</v>
      </c>
      <c r="D104" s="64" t="s">
        <v>101</v>
      </c>
      <c r="E104" s="122">
        <v>1015</v>
      </c>
      <c r="F104" s="122">
        <v>1015</v>
      </c>
      <c r="G104" s="123">
        <f t="shared" si="19"/>
        <v>1015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4038410.95</v>
      </c>
      <c r="O104" s="73">
        <f>K104*G104</f>
        <v>4038410.95</v>
      </c>
      <c r="P104" s="73" t="s">
        <v>104</v>
      </c>
      <c r="Q104" s="73"/>
      <c r="R104" s="73" t="s">
        <v>104</v>
      </c>
      <c r="S104" s="213"/>
      <c r="T104" s="46">
        <f>N104</f>
        <v>4038410.95</v>
      </c>
      <c r="U104" s="46">
        <f t="shared" ref="U104:U111" si="29">T104</f>
        <v>4038410.95</v>
      </c>
    </row>
    <row r="105" spans="1:23" x14ac:dyDescent="0.25">
      <c r="A105" s="372"/>
      <c r="B105" s="69"/>
      <c r="C105" s="304" t="s">
        <v>106</v>
      </c>
      <c r="D105" s="69"/>
      <c r="E105" s="122">
        <f>SUM(E104:E104)</f>
        <v>1015</v>
      </c>
      <c r="F105" s="122">
        <f>SUM(F104:F104)</f>
        <v>1015</v>
      </c>
      <c r="G105" s="122">
        <f>SUM(G104:G104)</f>
        <v>1015</v>
      </c>
      <c r="H105" s="60">
        <f>SUM(H104:H104)</f>
        <v>1015</v>
      </c>
      <c r="I105" s="60">
        <f>SUM(I104:I104)</f>
        <v>1015</v>
      </c>
      <c r="J105" s="73" t="s">
        <v>104</v>
      </c>
      <c r="K105" s="213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4038410.95</v>
      </c>
      <c r="O105" s="74">
        <f>SUM(O104:O104)</f>
        <v>4038410.95</v>
      </c>
      <c r="P105" s="74">
        <f t="shared" si="30"/>
        <v>0</v>
      </c>
      <c r="Q105" s="74"/>
      <c r="R105" s="74">
        <f t="shared" si="30"/>
        <v>0</v>
      </c>
      <c r="S105" s="185"/>
      <c r="T105" s="46">
        <f>N105</f>
        <v>4038410.95</v>
      </c>
      <c r="U105" s="46">
        <f t="shared" si="29"/>
        <v>4038410.95</v>
      </c>
    </row>
    <row r="106" spans="1:23" ht="13.9" hidden="1" customHeight="1" x14ac:dyDescent="0.25">
      <c r="A106" s="372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13"/>
      <c r="L106" s="185"/>
      <c r="M106" s="74"/>
      <c r="N106" s="74">
        <f>P106</f>
        <v>0</v>
      </c>
      <c r="O106" s="74"/>
      <c r="P106" s="74"/>
      <c r="Q106" s="74"/>
      <c r="R106" s="74"/>
      <c r="S106" s="185"/>
      <c r="T106" s="46">
        <f>P106</f>
        <v>0</v>
      </c>
      <c r="U106" s="46">
        <f t="shared" si="29"/>
        <v>0</v>
      </c>
    </row>
    <row r="107" spans="1:23" ht="13.9" hidden="1" customHeight="1" x14ac:dyDescent="0.25">
      <c r="A107" s="372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13"/>
      <c r="L107" s="185"/>
      <c r="M107" s="74"/>
      <c r="N107" s="74">
        <f>S107</f>
        <v>0</v>
      </c>
      <c r="O107" s="74"/>
      <c r="P107" s="74"/>
      <c r="Q107" s="74"/>
      <c r="R107" s="74"/>
      <c r="S107" s="185"/>
      <c r="T107" s="46">
        <f>S107</f>
        <v>0</v>
      </c>
      <c r="U107" s="46">
        <f t="shared" si="29"/>
        <v>0</v>
      </c>
    </row>
    <row r="108" spans="1:23" ht="13.9" hidden="1" customHeight="1" x14ac:dyDescent="0.25">
      <c r="A108" s="372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13"/>
      <c r="L108" s="185"/>
      <c r="M108" s="74"/>
      <c r="N108" s="74">
        <f>Q108</f>
        <v>0</v>
      </c>
      <c r="O108" s="74"/>
      <c r="P108" s="74"/>
      <c r="Q108" s="74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" hidden="1" customHeight="1" x14ac:dyDescent="0.25">
      <c r="A109" s="372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13"/>
      <c r="L109" s="185"/>
      <c r="M109" s="74"/>
      <c r="N109" s="74">
        <f>O109+P109+Q109+R109+S109</f>
        <v>0</v>
      </c>
      <c r="O109" s="74"/>
      <c r="P109" s="74"/>
      <c r="Q109" s="74"/>
      <c r="R109" s="74"/>
      <c r="S109" s="185"/>
      <c r="T109" s="46"/>
      <c r="U109" s="46"/>
    </row>
    <row r="110" spans="1:23" x14ac:dyDescent="0.25">
      <c r="A110" s="372"/>
      <c r="B110" s="89" t="s">
        <v>291</v>
      </c>
      <c r="C110" s="181" t="s">
        <v>226</v>
      </c>
      <c r="D110" s="64"/>
      <c r="E110" s="122">
        <v>20</v>
      </c>
      <c r="F110" s="122">
        <v>20</v>
      </c>
      <c r="G110" s="122">
        <v>20</v>
      </c>
      <c r="H110" s="60">
        <v>20</v>
      </c>
      <c r="I110" s="60">
        <v>20</v>
      </c>
      <c r="J110" s="73"/>
      <c r="K110" s="213"/>
      <c r="L110" s="185"/>
      <c r="M110" s="74"/>
      <c r="N110" s="74">
        <f>O110</f>
        <v>2343600</v>
      </c>
      <c r="O110" s="74">
        <v>2343600</v>
      </c>
      <c r="P110" s="74"/>
      <c r="Q110" s="74"/>
      <c r="R110" s="74"/>
      <c r="S110" s="185"/>
      <c r="T110" s="46">
        <v>2343600</v>
      </c>
      <c r="U110" s="46">
        <f>T110</f>
        <v>2343600</v>
      </c>
    </row>
    <row r="111" spans="1:23" ht="13.9" hidden="1" customHeight="1" x14ac:dyDescent="0.25">
      <c r="A111" s="372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13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>
        <f>O111</f>
        <v>0</v>
      </c>
      <c r="U111" s="46">
        <f t="shared" si="29"/>
        <v>0</v>
      </c>
    </row>
    <row r="112" spans="1:23" ht="13.9" hidden="1" customHeight="1" x14ac:dyDescent="0.25">
      <c r="A112" s="372"/>
      <c r="B112" s="89" t="s">
        <v>292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13"/>
      <c r="L112" s="185"/>
      <c r="M112" s="74"/>
      <c r="N112" s="74">
        <f>P112</f>
        <v>0</v>
      </c>
      <c r="O112" s="74"/>
      <c r="P112" s="74"/>
      <c r="Q112" s="74"/>
      <c r="R112" s="74"/>
      <c r="S112" s="185"/>
      <c r="T112" s="46"/>
      <c r="U112" s="46">
        <f>T112</f>
        <v>0</v>
      </c>
    </row>
    <row r="113" spans="1:26" x14ac:dyDescent="0.25">
      <c r="A113" s="372"/>
      <c r="B113" s="101" t="s">
        <v>112</v>
      </c>
      <c r="C113" s="101"/>
      <c r="D113" s="69"/>
      <c r="E113" s="220">
        <f>E90+E97+E103</f>
        <v>528</v>
      </c>
      <c r="F113" s="102">
        <f>F90+F97+F103</f>
        <v>528</v>
      </c>
      <c r="G113" s="220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7"/>
      <c r="L113" s="138"/>
      <c r="M113" s="103"/>
      <c r="N113" s="103">
        <f>SUM(O113:S113)</f>
        <v>34923570.43</v>
      </c>
      <c r="O113" s="103">
        <f>O90+O97+O103+O105+O110+O111</f>
        <v>25160754.530000001</v>
      </c>
      <c r="P113" s="103">
        <f>P90+P97+P103+P105+P106+P107+P108+P112</f>
        <v>2113050.7199999997</v>
      </c>
      <c r="Q113" s="103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34923570.430000007</v>
      </c>
      <c r="U113" s="138">
        <f>U90+U97+U103+U105+U106+U107+U108+U109+U110+U111+U112</f>
        <v>34923570.430000007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</row>
    <row r="114" spans="1:26" ht="82.9" customHeight="1" x14ac:dyDescent="0.25">
      <c r="A114" s="372" t="s">
        <v>115</v>
      </c>
      <c r="B114" s="373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6">
        <f>23258.45+1351.63</f>
        <v>24610.080000000002</v>
      </c>
      <c r="L114" s="217">
        <f>4001.99</f>
        <v>4001.99</v>
      </c>
      <c r="M114" s="70">
        <v>14314.24</v>
      </c>
      <c r="N114" s="71">
        <f>SUM(O114:R114)</f>
        <v>9315009.6000000015</v>
      </c>
      <c r="O114" s="71">
        <f>G114*K114</f>
        <v>5340387.3600000003</v>
      </c>
      <c r="P114" s="71">
        <f>G114*L114</f>
        <v>868431.83</v>
      </c>
      <c r="Q114" s="71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6" ht="90" x14ac:dyDescent="0.25">
      <c r="A115" s="372"/>
      <c r="B115" s="373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71"/>
      <c r="P115" s="59" t="s">
        <v>104</v>
      </c>
      <c r="Q115" s="59"/>
      <c r="R115" s="59" t="s">
        <v>104</v>
      </c>
      <c r="S115" s="123"/>
      <c r="T115" s="46"/>
      <c r="U115" s="46"/>
    </row>
    <row r="116" spans="1:26" x14ac:dyDescent="0.25">
      <c r="A116" s="372"/>
      <c r="B116" s="373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11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71">
        <f>G116*K116</f>
        <v>0</v>
      </c>
      <c r="P116" s="59" t="s">
        <v>104</v>
      </c>
      <c r="Q116" s="59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6" x14ac:dyDescent="0.25">
      <c r="A117" s="372"/>
      <c r="B117" s="373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11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71">
        <f t="shared" ref="O117:O122" si="36">G117*K117</f>
        <v>764310.14</v>
      </c>
      <c r="P117" s="59" t="s">
        <v>104</v>
      </c>
      <c r="Q117" s="59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6" x14ac:dyDescent="0.25">
      <c r="A118" s="372"/>
      <c r="B118" s="373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11">
        <v>92591.35</v>
      </c>
      <c r="L118" s="123" t="s">
        <v>104</v>
      </c>
      <c r="M118" s="59" t="s">
        <v>104</v>
      </c>
      <c r="N118" s="71">
        <f t="shared" si="32"/>
        <v>92591.35</v>
      </c>
      <c r="O118" s="71">
        <f t="shared" si="36"/>
        <v>92591.35</v>
      </c>
      <c r="P118" s="59" t="s">
        <v>104</v>
      </c>
      <c r="Q118" s="59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6" x14ac:dyDescent="0.25">
      <c r="A119" s="372"/>
      <c r="B119" s="373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71">
        <f t="shared" si="36"/>
        <v>1063702.3999999999</v>
      </c>
      <c r="P119" s="59" t="s">
        <v>104</v>
      </c>
      <c r="Q119" s="59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6" x14ac:dyDescent="0.25">
      <c r="A120" s="372"/>
      <c r="B120" s="373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71">
        <f t="shared" si="36"/>
        <v>0</v>
      </c>
      <c r="P120" s="59" t="s">
        <v>104</v>
      </c>
      <c r="Q120" s="59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6" x14ac:dyDescent="0.25">
      <c r="A121" s="372"/>
      <c r="B121" s="373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71">
        <f t="shared" si="36"/>
        <v>99770.92</v>
      </c>
      <c r="P121" s="59" t="s">
        <v>104</v>
      </c>
      <c r="Q121" s="59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6" x14ac:dyDescent="0.25">
      <c r="A122" s="372"/>
      <c r="B122" s="373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6" ht="120" x14ac:dyDescent="0.25">
      <c r="A123" s="372"/>
      <c r="B123" s="373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7">
        <f>4001.99</f>
        <v>4001.99</v>
      </c>
      <c r="M123" s="70">
        <v>14314.24</v>
      </c>
      <c r="N123" s="71">
        <f>SUM(O123:R123)</f>
        <v>705897.95</v>
      </c>
      <c r="O123" s="71">
        <f>G123*K123</f>
        <v>614316.80000000005</v>
      </c>
      <c r="P123" s="71">
        <f>G123*L123</f>
        <v>20009.949999999997</v>
      </c>
      <c r="Q123" s="71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6" x14ac:dyDescent="0.25">
      <c r="A124" s="372"/>
      <c r="B124" s="373"/>
      <c r="C124" s="304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11" t="s">
        <v>104</v>
      </c>
      <c r="L124" s="211" t="s">
        <v>104</v>
      </c>
      <c r="M124" s="71" t="s">
        <v>104</v>
      </c>
      <c r="N124" s="118">
        <f>SUM(N114:N123)</f>
        <v>12041282.360000001</v>
      </c>
      <c r="O124" s="71">
        <f>SUM(O114:O123)</f>
        <v>7975078.9699999997</v>
      </c>
      <c r="P124" s="71">
        <f>SUM(P114:P123)</f>
        <v>888441.77999999991</v>
      </c>
      <c r="Q124" s="71"/>
      <c r="R124" s="118">
        <f>SUM(R114:R123)</f>
        <v>3177761.6100000003</v>
      </c>
      <c r="S124" s="211"/>
      <c r="T124" s="211">
        <f>SUM(T114:T123)</f>
        <v>12041282.360000001</v>
      </c>
      <c r="U124" s="211">
        <f>T124</f>
        <v>12041282.360000001</v>
      </c>
    </row>
    <row r="125" spans="1:26" ht="82.9" customHeight="1" x14ac:dyDescent="0.25">
      <c r="A125" s="372"/>
      <c r="B125" s="373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6">
        <f>34483.05+1649.65</f>
        <v>36132.700000000004</v>
      </c>
      <c r="L125" s="217">
        <f>4001.99</f>
        <v>4001.99</v>
      </c>
      <c r="M125" s="70">
        <v>14567.32</v>
      </c>
      <c r="N125" s="71">
        <f>SUM(O125:R125)</f>
        <v>13784906.520000001</v>
      </c>
      <c r="O125" s="71">
        <f>G125*K125</f>
        <v>9105440.4000000004</v>
      </c>
      <c r="P125" s="71">
        <f>G125*L125</f>
        <v>1008501.48</v>
      </c>
      <c r="Q125" s="71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6" ht="90" x14ac:dyDescent="0.25">
      <c r="A126" s="372"/>
      <c r="B126" s="373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123"/>
      <c r="T126" s="46"/>
      <c r="U126" s="46"/>
    </row>
    <row r="127" spans="1:26" x14ac:dyDescent="0.25">
      <c r="A127" s="372"/>
      <c r="B127" s="373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71">
        <f>G127*K127</f>
        <v>25714.959999999999</v>
      </c>
      <c r="P127" s="59" t="s">
        <v>104</v>
      </c>
      <c r="Q127" s="59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6" x14ac:dyDescent="0.25">
      <c r="A128" s="372"/>
      <c r="B128" s="373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71">
        <f t="shared" ref="O128:O131" si="37">G128*K128</f>
        <v>185182.7</v>
      </c>
      <c r="P128" s="59" t="s">
        <v>104</v>
      </c>
      <c r="Q128" s="59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 x14ac:dyDescent="0.25">
      <c r="A129" s="372"/>
      <c r="B129" s="373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71">
        <f t="shared" si="37"/>
        <v>264803.59999999998</v>
      </c>
      <c r="P129" s="59" t="s">
        <v>104</v>
      </c>
      <c r="Q129" s="59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 x14ac:dyDescent="0.25">
      <c r="A130" s="372"/>
      <c r="B130" s="373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71">
        <f t="shared" si="37"/>
        <v>0</v>
      </c>
      <c r="P130" s="59" t="s">
        <v>104</v>
      </c>
      <c r="Q130" s="59"/>
      <c r="R130" s="59"/>
      <c r="S130" s="123"/>
      <c r="T130" s="46">
        <f>H130*K130</f>
        <v>0</v>
      </c>
      <c r="U130" s="46">
        <f>I130*K130</f>
        <v>0</v>
      </c>
    </row>
    <row r="131" spans="1:23" x14ac:dyDescent="0.25">
      <c r="A131" s="372"/>
      <c r="B131" s="373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71">
        <f t="shared" si="37"/>
        <v>23678.79</v>
      </c>
      <c r="P131" s="59" t="s">
        <v>104</v>
      </c>
      <c r="Q131" s="59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120" x14ac:dyDescent="0.25">
      <c r="A132" s="372"/>
      <c r="B132" s="373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7">
        <f>4001.99</f>
        <v>4001.99</v>
      </c>
      <c r="M132" s="70">
        <v>14567.32</v>
      </c>
      <c r="N132" s="73">
        <f>SUM(O132:R132)</f>
        <v>343428.5</v>
      </c>
      <c r="O132" s="71">
        <f>G132*K132</f>
        <v>306289.88</v>
      </c>
      <c r="P132" s="73">
        <f>G132*L132</f>
        <v>8003.98</v>
      </c>
      <c r="Q132" s="73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 x14ac:dyDescent="0.25">
      <c r="A133" s="372"/>
      <c r="B133" s="285"/>
      <c r="C133" s="304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13" t="s">
        <v>104</v>
      </c>
      <c r="L133" s="213" t="s">
        <v>104</v>
      </c>
      <c r="M133" s="73" t="s">
        <v>104</v>
      </c>
      <c r="N133" s="103">
        <f>SUM(N125:N132)</f>
        <v>14627715.07</v>
      </c>
      <c r="O133" s="74">
        <f>SUM(O125:O132)</f>
        <v>9911110.3300000001</v>
      </c>
      <c r="P133" s="74">
        <f>SUM(P125:P132)</f>
        <v>1016505.46</v>
      </c>
      <c r="Q133" s="74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" customHeight="1" x14ac:dyDescent="0.25">
      <c r="A134" s="372"/>
      <c r="B134" s="373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6">
        <f>41240.72+1998.78</f>
        <v>43239.5</v>
      </c>
      <c r="L134" s="217">
        <f>4001.99</f>
        <v>4001.99</v>
      </c>
      <c r="M134" s="70">
        <v>14934.34</v>
      </c>
      <c r="N134" s="73">
        <f>SUM(O134:R134)</f>
        <v>2113978.2199999997</v>
      </c>
      <c r="O134" s="73">
        <f>G134*K134</f>
        <v>1470143</v>
      </c>
      <c r="P134" s="73">
        <f>G134*L134</f>
        <v>136067.66</v>
      </c>
      <c r="Q134" s="73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90" x14ac:dyDescent="0.25">
      <c r="A135" s="372"/>
      <c r="B135" s="373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123"/>
      <c r="T135" s="46"/>
      <c r="U135" s="46"/>
    </row>
    <row r="136" spans="1:23" x14ac:dyDescent="0.25">
      <c r="A136" s="372"/>
      <c r="B136" s="373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71">
        <f>G136*K136</f>
        <v>0</v>
      </c>
      <c r="P136" s="59" t="s">
        <v>104</v>
      </c>
      <c r="Q136" s="59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120" x14ac:dyDescent="0.25">
      <c r="A137" s="372"/>
      <c r="B137" s="373"/>
      <c r="C137" s="61" t="s">
        <v>105</v>
      </c>
      <c r="D137" s="64" t="s">
        <v>101</v>
      </c>
      <c r="E137" s="122"/>
      <c r="F137" s="122">
        <v>0</v>
      </c>
      <c r="G137" s="219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7">
        <f>4001.99</f>
        <v>4001.99</v>
      </c>
      <c r="M137" s="70">
        <v>0</v>
      </c>
      <c r="N137" s="73"/>
      <c r="O137" s="73">
        <f>K137*G137</f>
        <v>0</v>
      </c>
      <c r="P137" s="73">
        <f>L137*G137</f>
        <v>0</v>
      </c>
      <c r="Q137" s="73"/>
      <c r="R137" s="73"/>
      <c r="S137" s="213"/>
      <c r="T137" s="46">
        <f>H137*J137</f>
        <v>0</v>
      </c>
      <c r="U137" s="46">
        <f>I137*J137</f>
        <v>0</v>
      </c>
    </row>
    <row r="138" spans="1:23" x14ac:dyDescent="0.25">
      <c r="A138" s="372"/>
      <c r="B138" s="285"/>
      <c r="C138" s="304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13" t="s">
        <v>104</v>
      </c>
      <c r="L138" s="213" t="s">
        <v>104</v>
      </c>
      <c r="M138" s="73" t="s">
        <v>104</v>
      </c>
      <c r="N138" s="103">
        <f>SUM(N134:N137)</f>
        <v>2113978.2199999997</v>
      </c>
      <c r="O138" s="74">
        <f>SUM(O134:O137)</f>
        <v>1470143</v>
      </c>
      <c r="P138" s="74">
        <f>SUM(P134:P137)</f>
        <v>136067.66</v>
      </c>
      <c r="Q138" s="74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 x14ac:dyDescent="0.25">
      <c r="A139" s="372"/>
      <c r="B139" s="137" t="s">
        <v>240</v>
      </c>
      <c r="C139" s="61" t="s">
        <v>187</v>
      </c>
      <c r="D139" s="64" t="s">
        <v>101</v>
      </c>
      <c r="E139" s="122">
        <v>630</v>
      </c>
      <c r="F139" s="122">
        <v>630</v>
      </c>
      <c r="G139" s="123">
        <f>((E139*8)+(F139*4))/12</f>
        <v>630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13" t="s">
        <v>104</v>
      </c>
      <c r="M139" s="73" t="s">
        <v>104</v>
      </c>
      <c r="N139" s="73">
        <f>SUM(O139:R139)</f>
        <v>2506599.9</v>
      </c>
      <c r="O139" s="73">
        <f>G139*K139</f>
        <v>2506599.9</v>
      </c>
      <c r="P139" s="73" t="s">
        <v>104</v>
      </c>
      <c r="Q139" s="73"/>
      <c r="R139" s="73" t="s">
        <v>104</v>
      </c>
      <c r="S139" s="213"/>
      <c r="T139" s="46">
        <f>N139</f>
        <v>2506599.9</v>
      </c>
      <c r="U139" s="46">
        <f t="shared" ref="U139:U146" si="38">T139</f>
        <v>2506599.9</v>
      </c>
    </row>
    <row r="140" spans="1:23" x14ac:dyDescent="0.25">
      <c r="A140" s="372"/>
      <c r="B140" s="69"/>
      <c r="C140" s="304" t="s">
        <v>106</v>
      </c>
      <c r="D140" s="69"/>
      <c r="E140" s="122">
        <f>SUM(E139:E139)</f>
        <v>630</v>
      </c>
      <c r="F140" s="122">
        <f>SUM(F139:F139)</f>
        <v>630</v>
      </c>
      <c r="G140" s="122">
        <f>SUM(G139:G139)</f>
        <v>630</v>
      </c>
      <c r="H140" s="60">
        <f>SUM(H139:H139)</f>
        <v>630</v>
      </c>
      <c r="I140" s="60">
        <f>SUM(I139:I139)</f>
        <v>630</v>
      </c>
      <c r="J140" s="73" t="s">
        <v>104</v>
      </c>
      <c r="K140" s="213" t="s">
        <v>104</v>
      </c>
      <c r="L140" s="213" t="s">
        <v>104</v>
      </c>
      <c r="M140" s="74">
        <f t="shared" ref="M140:R140" si="39">SUM(M139:M139)</f>
        <v>0</v>
      </c>
      <c r="N140" s="103">
        <f>SUM(N139:N139)</f>
        <v>2506599.9</v>
      </c>
      <c r="O140" s="74">
        <f t="shared" si="39"/>
        <v>2506599.9</v>
      </c>
      <c r="P140" s="74">
        <f t="shared" si="39"/>
        <v>0</v>
      </c>
      <c r="Q140" s="74"/>
      <c r="R140" s="74">
        <f t="shared" si="39"/>
        <v>0</v>
      </c>
      <c r="S140" s="185"/>
      <c r="T140" s="46">
        <f>N140</f>
        <v>2506599.9</v>
      </c>
      <c r="U140" s="46">
        <f t="shared" si="38"/>
        <v>2506599.9</v>
      </c>
      <c r="V140" s="192">
        <v>33800419.590000004</v>
      </c>
      <c r="W140" s="192">
        <f>V140-T148</f>
        <v>167244.04000000656</v>
      </c>
    </row>
    <row r="141" spans="1:23" ht="13.9" hidden="1" customHeight="1" x14ac:dyDescent="0.25">
      <c r="A141" s="372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13"/>
      <c r="L141" s="213"/>
      <c r="M141" s="74"/>
      <c r="N141" s="74">
        <f>P141</f>
        <v>0</v>
      </c>
      <c r="O141" s="74"/>
      <c r="P141" s="74"/>
      <c r="Q141" s="74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31289575.549999997</v>
      </c>
    </row>
    <row r="142" spans="1:23" ht="13.9" hidden="1" customHeight="1" x14ac:dyDescent="0.25">
      <c r="A142" s="372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13"/>
      <c r="L142" s="213"/>
      <c r="M142" s="74"/>
      <c r="N142" s="74">
        <f>S142</f>
        <v>0</v>
      </c>
      <c r="O142" s="74"/>
      <c r="P142" s="74"/>
      <c r="Q142" s="74"/>
      <c r="R142" s="74"/>
      <c r="S142" s="185"/>
      <c r="T142" s="46"/>
      <c r="U142" s="46">
        <f t="shared" si="38"/>
        <v>0</v>
      </c>
    </row>
    <row r="143" spans="1:23" ht="13.9" hidden="1" customHeight="1" x14ac:dyDescent="0.25">
      <c r="A143" s="372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13"/>
      <c r="L143" s="213"/>
      <c r="M143" s="74"/>
      <c r="N143" s="74">
        <f>S143</f>
        <v>0</v>
      </c>
      <c r="O143" s="74"/>
      <c r="P143" s="74"/>
      <c r="Q143" s="74"/>
      <c r="R143" s="74"/>
      <c r="S143" s="185"/>
      <c r="T143" s="46">
        <f>Q143</f>
        <v>0</v>
      </c>
      <c r="U143" s="46">
        <f t="shared" si="38"/>
        <v>0</v>
      </c>
    </row>
    <row r="144" spans="1:23" ht="13.9" hidden="1" customHeight="1" x14ac:dyDescent="0.25">
      <c r="A144" s="372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13"/>
      <c r="L144" s="213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/>
    </row>
    <row r="145" spans="1:26" x14ac:dyDescent="0.25">
      <c r="A145" s="372"/>
      <c r="B145" s="89" t="s">
        <v>291</v>
      </c>
      <c r="C145" s="181" t="s">
        <v>226</v>
      </c>
      <c r="D145" s="64"/>
      <c r="E145" s="122">
        <v>20</v>
      </c>
      <c r="F145" s="122">
        <v>20</v>
      </c>
      <c r="G145" s="122">
        <v>20</v>
      </c>
      <c r="H145" s="60">
        <v>20</v>
      </c>
      <c r="I145" s="60">
        <v>20</v>
      </c>
      <c r="J145" s="73"/>
      <c r="K145" s="213"/>
      <c r="L145" s="213"/>
      <c r="M145" s="74"/>
      <c r="N145" s="74">
        <f>O145</f>
        <v>2343600</v>
      </c>
      <c r="O145" s="74">
        <v>2343600</v>
      </c>
      <c r="P145" s="74"/>
      <c r="Q145" s="74"/>
      <c r="R145" s="74"/>
      <c r="S145" s="185"/>
      <c r="T145" s="46">
        <v>2343600</v>
      </c>
      <c r="U145" s="46">
        <f>T145</f>
        <v>2343600</v>
      </c>
    </row>
    <row r="146" spans="1:26" ht="13.9" hidden="1" customHeight="1" x14ac:dyDescent="0.25">
      <c r="A146" s="372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13"/>
      <c r="L146" s="213"/>
      <c r="M146" s="74"/>
      <c r="N146" s="74">
        <f>O146</f>
        <v>0</v>
      </c>
      <c r="O146" s="74"/>
      <c r="P146" s="74"/>
      <c r="Q146" s="74"/>
      <c r="R146" s="74"/>
      <c r="S146" s="185"/>
      <c r="T146" s="46">
        <f>O146</f>
        <v>0</v>
      </c>
      <c r="U146" s="46">
        <f t="shared" si="38"/>
        <v>0</v>
      </c>
    </row>
    <row r="147" spans="1:26" ht="13.9" hidden="1" customHeight="1" x14ac:dyDescent="0.25">
      <c r="A147" s="372"/>
      <c r="B147" s="89" t="s">
        <v>292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13"/>
      <c r="L147" s="213"/>
      <c r="M147" s="74"/>
      <c r="N147" s="74">
        <f>P147</f>
        <v>0</v>
      </c>
      <c r="O147" s="74"/>
      <c r="P147" s="74"/>
      <c r="Q147" s="74"/>
      <c r="R147" s="74"/>
      <c r="S147" s="185"/>
      <c r="T147" s="46"/>
      <c r="U147" s="46">
        <f>T147</f>
        <v>0</v>
      </c>
    </row>
    <row r="148" spans="1:26" x14ac:dyDescent="0.25">
      <c r="A148" s="372"/>
      <c r="B148" s="101" t="s">
        <v>112</v>
      </c>
      <c r="C148" s="101"/>
      <c r="D148" s="69"/>
      <c r="E148" s="220">
        <f>E124+E133+E138</f>
        <v>510</v>
      </c>
      <c r="F148" s="102">
        <f>F124+F133+F138</f>
        <v>510</v>
      </c>
      <c r="G148" s="220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7"/>
      <c r="L148" s="138"/>
      <c r="M148" s="103"/>
      <c r="N148" s="103">
        <f>SUM(O148:S148)</f>
        <v>33633175.549999997</v>
      </c>
      <c r="O148" s="136">
        <f>O124+O133+O138+O140+O145+O146</f>
        <v>24206532.199999999</v>
      </c>
      <c r="P148" s="103">
        <f>P124+P133+P138+P140+P141+P142+P143+P147</f>
        <v>2041014.8999999997</v>
      </c>
      <c r="Q148" s="103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33633175.549999997</v>
      </c>
      <c r="U148" s="138">
        <f>U124+U133+U138+U140+U141+U142+U143+U144+U145+U146+U147</f>
        <v>33633175.549999997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</row>
    <row r="149" spans="1:26" ht="82.9" customHeight="1" x14ac:dyDescent="0.25">
      <c r="A149" s="372" t="s">
        <v>116</v>
      </c>
      <c r="B149" s="374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6">
        <f>23258.45+1351.63</f>
        <v>24610.080000000002</v>
      </c>
      <c r="L149" s="217">
        <f>4001.99</f>
        <v>4001.99</v>
      </c>
      <c r="M149" s="70">
        <v>14314.24</v>
      </c>
      <c r="N149" s="71">
        <f>SUM(O149:R149)</f>
        <v>13951051.24</v>
      </c>
      <c r="O149" s="71">
        <f>G149*K149</f>
        <v>7998276.0000000009</v>
      </c>
      <c r="P149" s="71">
        <f>G149*L149</f>
        <v>1300646.75</v>
      </c>
      <c r="Q149" s="71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6" ht="90" x14ac:dyDescent="0.25">
      <c r="A150" s="372"/>
      <c r="B150" s="375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71"/>
      <c r="P150" s="59" t="s">
        <v>104</v>
      </c>
      <c r="Q150" s="59"/>
      <c r="R150" s="59" t="s">
        <v>104</v>
      </c>
      <c r="S150" s="123"/>
      <c r="T150" s="46"/>
      <c r="U150" s="46"/>
    </row>
    <row r="151" spans="1:26" x14ac:dyDescent="0.25">
      <c r="A151" s="372"/>
      <c r="B151" s="375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11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71">
        <f>G151*K151</f>
        <v>0</v>
      </c>
      <c r="P151" s="59" t="s">
        <v>104</v>
      </c>
      <c r="Q151" s="59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6" x14ac:dyDescent="0.25">
      <c r="A152" s="372"/>
      <c r="B152" s="375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11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71">
        <f t="shared" ref="O152:O157" si="45">G152*K152</f>
        <v>208448.22000000003</v>
      </c>
      <c r="P152" s="59" t="s">
        <v>104</v>
      </c>
      <c r="Q152" s="59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6" x14ac:dyDescent="0.25">
      <c r="A153" s="372"/>
      <c r="B153" s="375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11">
        <v>92591.35</v>
      </c>
      <c r="L153" s="123" t="s">
        <v>104</v>
      </c>
      <c r="M153" s="59" t="s">
        <v>104</v>
      </c>
      <c r="N153" s="71">
        <f t="shared" si="42"/>
        <v>92591.35</v>
      </c>
      <c r="O153" s="71">
        <f t="shared" si="45"/>
        <v>92591.35</v>
      </c>
      <c r="P153" s="59"/>
      <c r="Q153" s="59"/>
      <c r="R153" s="59"/>
      <c r="S153" s="123"/>
      <c r="T153" s="46">
        <f>H153*K153</f>
        <v>92591.35</v>
      </c>
      <c r="U153" s="46">
        <f t="shared" si="44"/>
        <v>92591.35</v>
      </c>
    </row>
    <row r="154" spans="1:26" x14ac:dyDescent="0.25">
      <c r="A154" s="372"/>
      <c r="B154" s="375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71">
        <f t="shared" si="45"/>
        <v>66481.399999999994</v>
      </c>
      <c r="P154" s="59" t="s">
        <v>104</v>
      </c>
      <c r="Q154" s="59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6" x14ac:dyDescent="0.25">
      <c r="A155" s="372"/>
      <c r="B155" s="375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71">
        <f t="shared" si="45"/>
        <v>0</v>
      </c>
      <c r="P155" s="59" t="s">
        <v>104</v>
      </c>
      <c r="Q155" s="59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6" x14ac:dyDescent="0.25">
      <c r="A156" s="372"/>
      <c r="B156" s="375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71">
        <f t="shared" si="45"/>
        <v>0</v>
      </c>
      <c r="P156" s="59" t="s">
        <v>104</v>
      </c>
      <c r="Q156" s="59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6" x14ac:dyDescent="0.25">
      <c r="A157" s="372"/>
      <c r="B157" s="375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71">
        <f t="shared" si="45"/>
        <v>23678.79</v>
      </c>
      <c r="P157" s="59" t="s">
        <v>104</v>
      </c>
      <c r="Q157" s="59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6" ht="84.6" customHeight="1" x14ac:dyDescent="0.25">
      <c r="A158" s="372"/>
      <c r="B158" s="375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7">
        <f>4001.99</f>
        <v>4001.99</v>
      </c>
      <c r="M158" s="70">
        <v>14314.24</v>
      </c>
      <c r="N158" s="71">
        <f>SUM(O158:R158)</f>
        <v>141179.59</v>
      </c>
      <c r="O158" s="71">
        <f>G158*K158</f>
        <v>122863.36</v>
      </c>
      <c r="P158" s="71">
        <f>G158*L158</f>
        <v>4001.99</v>
      </c>
      <c r="Q158" s="71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6" ht="105" x14ac:dyDescent="0.25">
      <c r="A159" s="372"/>
      <c r="B159" s="375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71">
        <f>G159*K159</f>
        <v>0</v>
      </c>
      <c r="P159" s="71"/>
      <c r="Q159" s="71"/>
      <c r="R159" s="71"/>
      <c r="S159" s="211"/>
      <c r="T159" s="46">
        <f>H159*J159</f>
        <v>0</v>
      </c>
      <c r="U159" s="46">
        <f>I159*J159</f>
        <v>0</v>
      </c>
    </row>
    <row r="160" spans="1:26" x14ac:dyDescent="0.25">
      <c r="A160" s="372"/>
      <c r="B160" s="376"/>
      <c r="C160" s="304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11" t="s">
        <v>104</v>
      </c>
      <c r="L160" s="211" t="s">
        <v>104</v>
      </c>
      <c r="M160" s="71" t="s">
        <v>104</v>
      </c>
      <c r="N160" s="118">
        <f>SUM(N149:N159)</f>
        <v>14483430.59</v>
      </c>
      <c r="O160" s="71">
        <f>SUM(O149:O159)</f>
        <v>8512339.1199999992</v>
      </c>
      <c r="P160" s="71">
        <f>SUM(P149:P159)</f>
        <v>1304648.74</v>
      </c>
      <c r="Q160" s="71"/>
      <c r="R160" s="118">
        <f>SUM(R149:R159)</f>
        <v>4666442.7300000004</v>
      </c>
      <c r="S160" s="211"/>
      <c r="T160" s="211">
        <f>SUM(T149:T159)</f>
        <v>14483430.59</v>
      </c>
      <c r="U160" s="211">
        <f>SUM(U149:U159)</f>
        <v>14483430.59</v>
      </c>
      <c r="Z160" s="192"/>
    </row>
    <row r="161" spans="1:26" ht="82.9" customHeight="1" x14ac:dyDescent="0.25">
      <c r="A161" s="372"/>
      <c r="B161" s="374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6">
        <f>34483.05+1649.65</f>
        <v>36132.700000000004</v>
      </c>
      <c r="L161" s="217">
        <f>4001.99</f>
        <v>4001.99</v>
      </c>
      <c r="M161" s="70">
        <v>14567.32</v>
      </c>
      <c r="N161" s="71">
        <f>SUM(O161:R161)</f>
        <v>11706230.140000001</v>
      </c>
      <c r="O161" s="71">
        <f>G161*K161</f>
        <v>7732397.8000000007</v>
      </c>
      <c r="P161" s="71">
        <f>G161*L161</f>
        <v>856425.86</v>
      </c>
      <c r="Q161" s="71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105" x14ac:dyDescent="0.25">
      <c r="A162" s="372"/>
      <c r="B162" s="375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6">
        <f>37919.15+1649.65</f>
        <v>39568.800000000003</v>
      </c>
      <c r="L162" s="217">
        <f>4001.99</f>
        <v>4001.99</v>
      </c>
      <c r="M162" s="70">
        <v>14567.32</v>
      </c>
      <c r="N162" s="71">
        <f>SUM(O162:R162)</f>
        <v>11336931.450000001</v>
      </c>
      <c r="O162" s="71">
        <f>G162*K162</f>
        <v>7715916.0000000009</v>
      </c>
      <c r="P162" s="71">
        <f>G162*L162</f>
        <v>780388.04999999993</v>
      </c>
      <c r="Q162" s="71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90" x14ac:dyDescent="0.25">
      <c r="A163" s="372"/>
      <c r="B163" s="375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71"/>
      <c r="P163" s="59" t="s">
        <v>104</v>
      </c>
      <c r="Q163" s="59"/>
      <c r="R163" s="59" t="s">
        <v>104</v>
      </c>
      <c r="S163" s="123"/>
      <c r="T163" s="46"/>
      <c r="U163" s="46"/>
    </row>
    <row r="164" spans="1:26" x14ac:dyDescent="0.25">
      <c r="A164" s="372"/>
      <c r="B164" s="375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71">
        <f>G164*K164</f>
        <v>0</v>
      </c>
      <c r="P164" s="59" t="s">
        <v>104</v>
      </c>
      <c r="Q164" s="59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 x14ac:dyDescent="0.25">
      <c r="A165" s="372"/>
      <c r="B165" s="375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71">
        <f t="shared" ref="O165:O166" si="46">G165*K165</f>
        <v>25714.959999999999</v>
      </c>
      <c r="P165" s="59" t="s">
        <v>104</v>
      </c>
      <c r="Q165" s="59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 x14ac:dyDescent="0.25">
      <c r="A166" s="372"/>
      <c r="B166" s="375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71">
        <f t="shared" si="46"/>
        <v>23678.79</v>
      </c>
      <c r="P166" s="59" t="s">
        <v>104</v>
      </c>
      <c r="Q166" s="59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 x14ac:dyDescent="0.25">
      <c r="A167" s="372"/>
      <c r="B167" s="375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7">
        <f>4001.99</f>
        <v>4001.99</v>
      </c>
      <c r="M167" s="70">
        <v>14567.32</v>
      </c>
      <c r="N167" s="73">
        <f>SUM(O167:R167)</f>
        <v>171714.25</v>
      </c>
      <c r="O167" s="71">
        <f>G167*K167</f>
        <v>153144.94</v>
      </c>
      <c r="P167" s="73">
        <f>G167*L167</f>
        <v>4001.99</v>
      </c>
      <c r="Q167" s="73"/>
      <c r="R167" s="73">
        <f>E167*M167</f>
        <v>14567.32</v>
      </c>
      <c r="S167" s="213"/>
      <c r="T167" s="46">
        <f>N167</f>
        <v>171714.25</v>
      </c>
      <c r="U167" s="46">
        <f>T167</f>
        <v>171714.25</v>
      </c>
    </row>
    <row r="168" spans="1:26" ht="105" x14ac:dyDescent="0.25">
      <c r="A168" s="372"/>
      <c r="B168" s="375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71">
        <f>G168*K168</f>
        <v>0</v>
      </c>
      <c r="P168" s="73"/>
      <c r="Q168" s="73"/>
      <c r="R168" s="73"/>
      <c r="S168" s="213"/>
      <c r="T168" s="46">
        <f>H168*J168</f>
        <v>0</v>
      </c>
      <c r="U168" s="46">
        <f>I168*J168</f>
        <v>0</v>
      </c>
    </row>
    <row r="169" spans="1:26" x14ac:dyDescent="0.25">
      <c r="A169" s="372"/>
      <c r="B169" s="376"/>
      <c r="C169" s="304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13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74">
        <f t="shared" ref="O169:U169" si="47">SUM(O161:O168)</f>
        <v>15650852.49</v>
      </c>
      <c r="P169" s="74">
        <f t="shared" si="47"/>
        <v>1640815.9</v>
      </c>
      <c r="Q169" s="74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" customHeight="1" x14ac:dyDescent="0.25">
      <c r="A170" s="372"/>
      <c r="B170" s="374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6">
        <f>41240.72+1998.78</f>
        <v>43239.5</v>
      </c>
      <c r="L170" s="217">
        <f>4001.99</f>
        <v>4001.99</v>
      </c>
      <c r="M170" s="70">
        <v>14934.34</v>
      </c>
      <c r="N170" s="73">
        <f>SUM(O170:R170)</f>
        <v>3295318.99</v>
      </c>
      <c r="O170" s="73">
        <f>G170*K170</f>
        <v>2291693.5</v>
      </c>
      <c r="P170" s="73">
        <f>G170*L170</f>
        <v>212105.47</v>
      </c>
      <c r="Q170" s="73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105" x14ac:dyDescent="0.25">
      <c r="A171" s="372"/>
      <c r="B171" s="375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6">
        <f>84481.61+1998.78</f>
        <v>86480.39</v>
      </c>
      <c r="L171" s="217">
        <f>4001.99</f>
        <v>4001.99</v>
      </c>
      <c r="M171" s="70">
        <v>14934.34</v>
      </c>
      <c r="N171" s="73">
        <f>SUM(O171:R171)</f>
        <v>5481669.4399999995</v>
      </c>
      <c r="O171" s="73">
        <f>G171*K171</f>
        <v>4496980.28</v>
      </c>
      <c r="P171" s="73">
        <f>G171*L171</f>
        <v>208103.47999999998</v>
      </c>
      <c r="Q171" s="73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90" x14ac:dyDescent="0.25">
      <c r="A172" s="372"/>
      <c r="B172" s="375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71"/>
      <c r="P172" s="59" t="s">
        <v>104</v>
      </c>
      <c r="Q172" s="59"/>
      <c r="R172" s="59" t="s">
        <v>104</v>
      </c>
      <c r="S172" s="123"/>
      <c r="T172" s="46"/>
      <c r="U172" s="46"/>
    </row>
    <row r="173" spans="1:26" x14ac:dyDescent="0.25">
      <c r="A173" s="372"/>
      <c r="B173" s="375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71">
        <f>G173*K173</f>
        <v>23678.79</v>
      </c>
      <c r="P173" s="59" t="s">
        <v>104</v>
      </c>
      <c r="Q173" s="59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5" customHeight="1" x14ac:dyDescent="0.25">
      <c r="A174" s="372"/>
      <c r="B174" s="375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7">
        <f>4001.99</f>
        <v>4001.99</v>
      </c>
      <c r="M174" s="70">
        <v>14934.34</v>
      </c>
      <c r="N174" s="73"/>
      <c r="O174" s="73"/>
      <c r="P174" s="73"/>
      <c r="Q174" s="73"/>
      <c r="R174" s="73"/>
      <c r="S174" s="213"/>
      <c r="T174" s="46">
        <f>H174*J174</f>
        <v>0</v>
      </c>
      <c r="U174" s="46">
        <f>I174*J174</f>
        <v>0</v>
      </c>
    </row>
    <row r="175" spans="1:26" x14ac:dyDescent="0.25">
      <c r="A175" s="372"/>
      <c r="B175" s="376"/>
      <c r="C175" s="304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13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74">
        <f t="shared" ref="O175:U175" si="48">SUM(O170:O174)</f>
        <v>6812352.5700000003</v>
      </c>
      <c r="P175" s="74">
        <f t="shared" si="48"/>
        <v>420208.94999999995</v>
      </c>
      <c r="Q175" s="74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-56109255.099999994</v>
      </c>
      <c r="Z175" s="192"/>
    </row>
    <row r="176" spans="1:26" ht="102" customHeight="1" x14ac:dyDescent="0.25">
      <c r="A176" s="372"/>
      <c r="B176" s="137" t="s">
        <v>240</v>
      </c>
      <c r="C176" s="61" t="s">
        <v>255</v>
      </c>
      <c r="D176" s="64" t="s">
        <v>101</v>
      </c>
      <c r="E176" s="122">
        <v>1490</v>
      </c>
      <c r="F176" s="122">
        <v>1490</v>
      </c>
      <c r="G176" s="123">
        <f>((E176*8)+(F176*4))/12</f>
        <v>1490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5928307.7000000002</v>
      </c>
      <c r="O176" s="73">
        <f>G176*K176</f>
        <v>5928307.7000000002</v>
      </c>
      <c r="P176" s="73" t="s">
        <v>104</v>
      </c>
      <c r="Q176" s="73"/>
      <c r="R176" s="73" t="s">
        <v>104</v>
      </c>
      <c r="S176" s="213"/>
      <c r="T176" s="46">
        <f>N176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640877.89999999106</v>
      </c>
      <c r="X176" s="290">
        <f>G160+G169+G175</f>
        <v>841</v>
      </c>
    </row>
    <row r="177" spans="1:27" ht="128.44999999999999" customHeight="1" x14ac:dyDescent="0.25">
      <c r="A177" s="372"/>
      <c r="B177" s="137"/>
      <c r="C177" s="61" t="s">
        <v>254</v>
      </c>
      <c r="D177" s="64" t="s">
        <v>101</v>
      </c>
      <c r="E177" s="122"/>
      <c r="F177" s="122"/>
      <c r="G177" s="221">
        <v>495</v>
      </c>
      <c r="H177" s="59">
        <v>495</v>
      </c>
      <c r="I177" s="59">
        <v>495</v>
      </c>
      <c r="J177" s="73" t="s">
        <v>104</v>
      </c>
      <c r="K177" s="213" t="s">
        <v>104</v>
      </c>
      <c r="L177" s="185" t="s">
        <v>104</v>
      </c>
      <c r="M177" s="100">
        <v>0</v>
      </c>
      <c r="N177" s="73">
        <f>R177</f>
        <v>0</v>
      </c>
      <c r="O177" s="73"/>
      <c r="P177" s="73"/>
      <c r="Q177" s="73"/>
      <c r="R177" s="75">
        <f>G177*M177</f>
        <v>0</v>
      </c>
      <c r="S177" s="213"/>
      <c r="T177" s="46">
        <f>N177</f>
        <v>0</v>
      </c>
      <c r="U177" s="46">
        <f t="shared" si="49"/>
        <v>0</v>
      </c>
      <c r="W177" s="182">
        <f>W176/3</f>
        <v>213625.96666666368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 x14ac:dyDescent="0.25">
      <c r="A178" s="372"/>
      <c r="B178" s="69"/>
      <c r="C178" s="304" t="s">
        <v>106</v>
      </c>
      <c r="D178" s="69"/>
      <c r="E178" s="122">
        <f>SUM(E176:E176)</f>
        <v>1490</v>
      </c>
      <c r="F178" s="122">
        <f>SUM(F176:F176)</f>
        <v>1490</v>
      </c>
      <c r="G178" s="122">
        <f>SUM(G176:G176)</f>
        <v>1490</v>
      </c>
      <c r="H178" s="60">
        <f>SUM(H176:H176)</f>
        <v>1490</v>
      </c>
      <c r="I178" s="60">
        <f>SUM(I176:I176)</f>
        <v>1490</v>
      </c>
      <c r="J178" s="73" t="s">
        <v>104</v>
      </c>
      <c r="K178" s="213" t="s">
        <v>104</v>
      </c>
      <c r="L178" s="185" t="s">
        <v>104</v>
      </c>
      <c r="M178" s="74">
        <f>SUM(M176:M176)</f>
        <v>0</v>
      </c>
      <c r="N178" s="103">
        <f>SUM(N176:N177)</f>
        <v>5928307.7000000002</v>
      </c>
      <c r="O178" s="74">
        <f>SUM(O176:O176)</f>
        <v>5928307.7000000002</v>
      </c>
      <c r="P178" s="74">
        <f>SUM(P176:P176)</f>
        <v>0</v>
      </c>
      <c r="Q178" s="74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" hidden="1" customHeight="1" x14ac:dyDescent="0.25">
      <c r="A179" s="372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13"/>
      <c r="L179" s="185"/>
      <c r="M179" s="74"/>
      <c r="N179" s="74">
        <f>P179</f>
        <v>0</v>
      </c>
      <c r="O179" s="74"/>
      <c r="P179" s="74"/>
      <c r="Q179" s="74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" hidden="1" customHeight="1" x14ac:dyDescent="0.25">
      <c r="A180" s="372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13"/>
      <c r="L180" s="185"/>
      <c r="M180" s="74"/>
      <c r="N180" s="74">
        <f>S180</f>
        <v>0</v>
      </c>
      <c r="O180" s="74"/>
      <c r="P180" s="74"/>
      <c r="Q180" s="74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" hidden="1" customHeight="1" x14ac:dyDescent="0.25">
      <c r="A181" s="372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13"/>
      <c r="L181" s="185"/>
      <c r="M181" s="74"/>
      <c r="N181" s="74">
        <f>S181</f>
        <v>0</v>
      </c>
      <c r="O181" s="74"/>
      <c r="P181" s="74"/>
      <c r="Q181" s="74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" hidden="1" customHeight="1" x14ac:dyDescent="0.25">
      <c r="A182" s="372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13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/>
      <c r="U182" s="46"/>
      <c r="V182" s="192"/>
    </row>
    <row r="183" spans="1:27" x14ac:dyDescent="0.25">
      <c r="A183" s="372"/>
      <c r="B183" s="89" t="s">
        <v>291</v>
      </c>
      <c r="C183" s="181" t="s">
        <v>226</v>
      </c>
      <c r="D183" s="64"/>
      <c r="E183" s="122">
        <v>31</v>
      </c>
      <c r="F183" s="122">
        <v>31</v>
      </c>
      <c r="G183" s="122">
        <v>31</v>
      </c>
      <c r="H183" s="60">
        <v>31</v>
      </c>
      <c r="I183" s="60">
        <v>31</v>
      </c>
      <c r="J183" s="73"/>
      <c r="K183" s="213"/>
      <c r="L183" s="185"/>
      <c r="M183" s="74"/>
      <c r="N183" s="74">
        <f>O183</f>
        <v>3632580</v>
      </c>
      <c r="O183" s="74">
        <v>3632580</v>
      </c>
      <c r="P183" s="74"/>
      <c r="Q183" s="74"/>
      <c r="R183" s="74"/>
      <c r="S183" s="185"/>
      <c r="T183" s="46">
        <v>3632580</v>
      </c>
      <c r="U183" s="46">
        <f>T183</f>
        <v>3632580</v>
      </c>
      <c r="V183" s="192"/>
    </row>
    <row r="184" spans="1:27" ht="13.9" hidden="1" customHeight="1" x14ac:dyDescent="0.25">
      <c r="A184" s="372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13"/>
      <c r="L184" s="185"/>
      <c r="M184" s="74"/>
      <c r="N184" s="74">
        <f>O184</f>
        <v>0</v>
      </c>
      <c r="O184" s="74"/>
      <c r="P184" s="74"/>
      <c r="Q184" s="74"/>
      <c r="R184" s="74"/>
      <c r="S184" s="185"/>
      <c r="T184" s="46">
        <f>O184</f>
        <v>0</v>
      </c>
      <c r="U184" s="46">
        <f>T184</f>
        <v>0</v>
      </c>
    </row>
    <row r="185" spans="1:27" ht="13.9" hidden="1" customHeight="1" x14ac:dyDescent="0.25">
      <c r="A185" s="372"/>
      <c r="B185" s="89" t="s">
        <v>292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13"/>
      <c r="L185" s="185"/>
      <c r="M185" s="74"/>
      <c r="N185" s="74">
        <f>P185</f>
        <v>0</v>
      </c>
      <c r="O185" s="74"/>
      <c r="P185" s="74"/>
      <c r="Q185" s="74"/>
      <c r="R185" s="74"/>
      <c r="S185" s="185"/>
      <c r="T185" s="46"/>
      <c r="U185" s="46">
        <f>T185</f>
        <v>0</v>
      </c>
    </row>
    <row r="186" spans="1:27" x14ac:dyDescent="0.25">
      <c r="A186" s="372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7"/>
      <c r="L186" s="138"/>
      <c r="M186" s="103"/>
      <c r="N186" s="103">
        <f>SUM(O186:S186)</f>
        <v>56109255.099999994</v>
      </c>
      <c r="O186" s="103">
        <f>O160+O169+O175+O178+O179+O180+O181+O183+O185</f>
        <v>40536431.880000003</v>
      </c>
      <c r="P186" s="103">
        <f>P160+P169+P175+P178+P179+P180+P181+P185</f>
        <v>3365673.59</v>
      </c>
      <c r="Q186" s="103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56109255.100000009</v>
      </c>
      <c r="U186" s="138">
        <f>U160+U169+U175+U178+U179+U180+U181+U182+U183+U184+U185</f>
        <v>56109255.100000009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0</v>
      </c>
      <c r="AA186" s="295"/>
    </row>
    <row r="187" spans="1:27" ht="225" x14ac:dyDescent="0.25">
      <c r="A187" s="372" t="s">
        <v>119</v>
      </c>
      <c r="B187" s="373" t="s">
        <v>237</v>
      </c>
      <c r="C187" s="61" t="s">
        <v>120</v>
      </c>
      <c r="D187" s="62" t="s">
        <v>121</v>
      </c>
      <c r="E187" s="221" t="s">
        <v>322</v>
      </c>
      <c r="F187" s="221" t="s">
        <v>322</v>
      </c>
      <c r="G187" s="221" t="s">
        <v>322</v>
      </c>
      <c r="H187" s="221" t="s">
        <v>322</v>
      </c>
      <c r="I187" s="221" t="s">
        <v>322</v>
      </c>
      <c r="J187" s="107" t="s">
        <v>349</v>
      </c>
      <c r="K187" s="226" t="s">
        <v>344</v>
      </c>
      <c r="L187" s="217" t="s">
        <v>185</v>
      </c>
      <c r="M187" s="70" t="s">
        <v>355</v>
      </c>
      <c r="N187" s="71">
        <f>SUM(O187:R187)</f>
        <v>2498340.8600000003</v>
      </c>
      <c r="O187" s="71">
        <f>((((672261.79*2/12*8)+(672261.79*2/12*4))+((1351.63*44)/12*8+(1351.63*44)/12*4)))</f>
        <v>1403995.3</v>
      </c>
      <c r="P187" s="71">
        <f>((4001.99*44)/12*8)+((4001.99*44)/12*4)</f>
        <v>176087.56</v>
      </c>
      <c r="Q187" s="71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225" x14ac:dyDescent="0.25">
      <c r="A188" s="372"/>
      <c r="B188" s="373"/>
      <c r="C188" s="61" t="s">
        <v>128</v>
      </c>
      <c r="D188" s="62" t="s">
        <v>121</v>
      </c>
      <c r="E188" s="221" t="s">
        <v>140</v>
      </c>
      <c r="F188" s="221" t="s">
        <v>140</v>
      </c>
      <c r="G188" s="221" t="s">
        <v>140</v>
      </c>
      <c r="H188" s="221" t="s">
        <v>140</v>
      </c>
      <c r="I188" s="221" t="s">
        <v>140</v>
      </c>
      <c r="J188" s="107" t="s">
        <v>350</v>
      </c>
      <c r="K188" s="226" t="s">
        <v>345</v>
      </c>
      <c r="L188" s="217" t="s">
        <v>185</v>
      </c>
      <c r="M188" s="70" t="s">
        <v>355</v>
      </c>
      <c r="N188" s="71">
        <f>SUM(O188:R188)</f>
        <v>3127684.77</v>
      </c>
      <c r="O188" s="71">
        <f>((((631732.78*3)/12*8+(631732.78*3)/12*4)+((1351.63*47)/12*8+(1351.63*47)/12*4)))</f>
        <v>1958724.9500000002</v>
      </c>
      <c r="P188" s="71">
        <f>((4001.99*47)/12*8)+((4001.99*47)/12*4)</f>
        <v>188093.53</v>
      </c>
      <c r="Q188" s="71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90" x14ac:dyDescent="0.25">
      <c r="A189" s="372"/>
      <c r="B189" s="373"/>
      <c r="C189" s="63" t="s">
        <v>102</v>
      </c>
      <c r="D189" s="64" t="s">
        <v>101</v>
      </c>
      <c r="E189" s="222"/>
      <c r="F189" s="222"/>
      <c r="G189" s="222"/>
      <c r="H189" s="65"/>
      <c r="I189" s="65"/>
      <c r="J189" s="150" t="s">
        <v>103</v>
      </c>
      <c r="K189" s="214" t="s">
        <v>103</v>
      </c>
      <c r="L189" s="214" t="s">
        <v>103</v>
      </c>
      <c r="M189" s="150" t="s">
        <v>103</v>
      </c>
      <c r="N189" s="71">
        <f t="shared" ref="N189:N194" si="50">SUM(O189:R189)</f>
        <v>0</v>
      </c>
      <c r="O189" s="150" t="s">
        <v>103</v>
      </c>
      <c r="P189" s="150" t="s">
        <v>103</v>
      </c>
      <c r="Q189" s="150"/>
      <c r="R189" s="150" t="s">
        <v>103</v>
      </c>
      <c r="S189" s="214"/>
      <c r="T189" s="46">
        <f t="shared" ref="T189:T194" si="51">N189</f>
        <v>0</v>
      </c>
      <c r="U189" s="46">
        <f t="shared" ref="U189:U194" si="52">T189</f>
        <v>0</v>
      </c>
    </row>
    <row r="190" spans="1:27" x14ac:dyDescent="0.25">
      <c r="A190" s="372"/>
      <c r="B190" s="373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14"/>
      <c r="M190" s="150"/>
      <c r="N190" s="71"/>
      <c r="O190" s="71">
        <f>G190*K190</f>
        <v>83951.08</v>
      </c>
      <c r="P190" s="150"/>
      <c r="Q190" s="150"/>
      <c r="R190" s="150"/>
      <c r="S190" s="214"/>
      <c r="T190" s="46">
        <f>H190*K190</f>
        <v>83951.08</v>
      </c>
      <c r="U190" s="46">
        <f>T190</f>
        <v>83951.08</v>
      </c>
    </row>
    <row r="191" spans="1:27" x14ac:dyDescent="0.25">
      <c r="A191" s="372"/>
      <c r="B191" s="373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71">
        <f t="shared" ref="O191:O192" si="53">G191*K191</f>
        <v>481832.46</v>
      </c>
      <c r="P191" s="71"/>
      <c r="Q191" s="71"/>
      <c r="R191" s="118"/>
      <c r="S191" s="215"/>
      <c r="T191" s="46">
        <f t="shared" si="51"/>
        <v>481832.46</v>
      </c>
      <c r="U191" s="46">
        <f t="shared" si="52"/>
        <v>481832.46</v>
      </c>
    </row>
    <row r="192" spans="1:27" x14ac:dyDescent="0.25">
      <c r="A192" s="372"/>
      <c r="B192" s="373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71">
        <f t="shared" si="53"/>
        <v>0</v>
      </c>
      <c r="P192" s="71"/>
      <c r="Q192" s="71"/>
      <c r="R192" s="118"/>
      <c r="S192" s="215"/>
      <c r="T192" s="46">
        <f t="shared" si="51"/>
        <v>0</v>
      </c>
      <c r="U192" s="46">
        <f t="shared" si="52"/>
        <v>0</v>
      </c>
    </row>
    <row r="193" spans="1:24" ht="83.45" customHeight="1" x14ac:dyDescent="0.25">
      <c r="A193" s="372"/>
      <c r="B193" s="373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7" t="s">
        <v>185</v>
      </c>
      <c r="M193" s="70" t="s">
        <v>355</v>
      </c>
      <c r="N193" s="71">
        <f t="shared" si="50"/>
        <v>207381.79</v>
      </c>
      <c r="O193" s="71">
        <f>G193*K193</f>
        <v>182510.30000000002</v>
      </c>
      <c r="P193" s="71">
        <f>G193*4001.99</f>
        <v>4001.99</v>
      </c>
      <c r="Q193" s="71"/>
      <c r="R193" s="71">
        <f>G193*20869.5</f>
        <v>20869.5</v>
      </c>
      <c r="S193" s="215"/>
      <c r="T193" s="46">
        <f>N193</f>
        <v>207381.79</v>
      </c>
      <c r="U193" s="46">
        <f t="shared" si="52"/>
        <v>207381.79</v>
      </c>
    </row>
    <row r="194" spans="1:24" ht="105" x14ac:dyDescent="0.25">
      <c r="A194" s="372"/>
      <c r="B194" s="373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11" t="s">
        <v>104</v>
      </c>
      <c r="M194" s="71" t="s">
        <v>104</v>
      </c>
      <c r="N194" s="71">
        <f t="shared" si="50"/>
        <v>0</v>
      </c>
      <c r="O194" s="71">
        <f>G194*K194</f>
        <v>0</v>
      </c>
      <c r="P194" s="71" t="s">
        <v>104</v>
      </c>
      <c r="Q194" s="71"/>
      <c r="R194" s="118" t="s">
        <v>104</v>
      </c>
      <c r="S194" s="215"/>
      <c r="T194" s="46">
        <f t="shared" si="51"/>
        <v>0</v>
      </c>
      <c r="U194" s="46">
        <f t="shared" si="52"/>
        <v>0</v>
      </c>
    </row>
    <row r="195" spans="1:24" x14ac:dyDescent="0.25">
      <c r="A195" s="372"/>
      <c r="B195" s="373"/>
      <c r="C195" s="304" t="s">
        <v>106</v>
      </c>
      <c r="D195" s="67"/>
      <c r="E195" s="221" t="s">
        <v>323</v>
      </c>
      <c r="F195" s="221" t="s">
        <v>323</v>
      </c>
      <c r="G195" s="221" t="s">
        <v>323</v>
      </c>
      <c r="H195" s="221" t="s">
        <v>323</v>
      </c>
      <c r="I195" s="221" t="s">
        <v>323</v>
      </c>
      <c r="J195" s="71" t="s">
        <v>104</v>
      </c>
      <c r="K195" s="211" t="s">
        <v>104</v>
      </c>
      <c r="L195" s="211" t="s">
        <v>104</v>
      </c>
      <c r="M195" s="71" t="s">
        <v>104</v>
      </c>
      <c r="N195" s="118">
        <f>SUM(O195:R195)</f>
        <v>6399190.96</v>
      </c>
      <c r="O195" s="71">
        <f>SUM(O187:O194)</f>
        <v>4111014.09</v>
      </c>
      <c r="P195" s="71">
        <f>SUM(P187:P194)</f>
        <v>368183.07999999996</v>
      </c>
      <c r="Q195" s="71"/>
      <c r="R195" s="118">
        <f>SUM(R187:R194)</f>
        <v>1919993.79</v>
      </c>
      <c r="S195" s="211"/>
      <c r="T195" s="296">
        <f>SUM(T187:T194)</f>
        <v>6399190.9600000009</v>
      </c>
      <c r="U195" s="211">
        <f>SUM(U187:U194)</f>
        <v>6399190.9600000009</v>
      </c>
    </row>
    <row r="196" spans="1:24" ht="225" x14ac:dyDescent="0.25">
      <c r="A196" s="372"/>
      <c r="B196" s="373" t="s">
        <v>238</v>
      </c>
      <c r="C196" s="61" t="s">
        <v>120</v>
      </c>
      <c r="D196" s="62" t="s">
        <v>121</v>
      </c>
      <c r="E196" s="221" t="s">
        <v>122</v>
      </c>
      <c r="F196" s="221" t="s">
        <v>122</v>
      </c>
      <c r="G196" s="221" t="s">
        <v>122</v>
      </c>
      <c r="H196" s="221" t="s">
        <v>122</v>
      </c>
      <c r="I196" s="221" t="s">
        <v>122</v>
      </c>
      <c r="J196" s="107" t="s">
        <v>351</v>
      </c>
      <c r="K196" s="226" t="s">
        <v>346</v>
      </c>
      <c r="L196" s="217" t="s">
        <v>185</v>
      </c>
      <c r="M196" s="70" t="s">
        <v>356</v>
      </c>
      <c r="N196" s="71">
        <f>SUM(O196:R196)</f>
        <v>3187028.66</v>
      </c>
      <c r="O196" s="71">
        <f>((((996986.3*2)/12*8+(996986.3*2)/12*4)+((1649.65*46)/12*8+(1649.65*46)/12*4)))</f>
        <v>2069856.5</v>
      </c>
      <c r="P196" s="71">
        <f>((4001.99*46)/12*8)+((4001.99*46)/12*4)</f>
        <v>184091.53999999998</v>
      </c>
      <c r="Q196" s="71"/>
      <c r="R196" s="71">
        <f>((20284.35*46)/12*8)+((20284.35*46)/12*4)+0.52</f>
        <v>933080.62000000011</v>
      </c>
      <c r="S196" s="211"/>
      <c r="T196" s="46">
        <f>N196</f>
        <v>3187028.66</v>
      </c>
      <c r="U196" s="46">
        <f>T196</f>
        <v>3187028.66</v>
      </c>
      <c r="V196" s="291"/>
      <c r="W196" s="182">
        <f>12300.53*86</f>
        <v>1057845.58</v>
      </c>
    </row>
    <row r="197" spans="1:24" ht="225" x14ac:dyDescent="0.25">
      <c r="A197" s="372"/>
      <c r="B197" s="373"/>
      <c r="C197" s="61" t="s">
        <v>128</v>
      </c>
      <c r="D197" s="62" t="s">
        <v>121</v>
      </c>
      <c r="E197" s="190" t="s">
        <v>324</v>
      </c>
      <c r="F197" s="190" t="s">
        <v>324</v>
      </c>
      <c r="G197" s="190" t="s">
        <v>324</v>
      </c>
      <c r="H197" s="190" t="s">
        <v>324</v>
      </c>
      <c r="I197" s="190" t="s">
        <v>324</v>
      </c>
      <c r="J197" s="107" t="s">
        <v>352</v>
      </c>
      <c r="K197" s="226" t="s">
        <v>347</v>
      </c>
      <c r="L197" s="217" t="s">
        <v>185</v>
      </c>
      <c r="M197" s="70" t="s">
        <v>356</v>
      </c>
      <c r="N197" s="71">
        <f>SUM(O197:R197)</f>
        <v>4768672.3</v>
      </c>
      <c r="O197" s="71">
        <f>((((790160.23*4)/12*8+(790160.23*4)/12*4)+((1649.65*62)/12*8+(1649.65*62)/12*4)))</f>
        <v>3262919.2199999997</v>
      </c>
      <c r="P197" s="71">
        <f>((4001.99*62)/12*8)+((4001.99*62)/12*4)</f>
        <v>248123.37999999995</v>
      </c>
      <c r="Q197" s="71"/>
      <c r="R197" s="297">
        <f>((20284.35*62)/12*8)+((20284.35*62)/12*4)</f>
        <v>1257629.7</v>
      </c>
      <c r="S197" s="211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90" x14ac:dyDescent="0.25">
      <c r="A198" s="372"/>
      <c r="B198" s="373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71"/>
      <c r="P198" s="59" t="s">
        <v>104</v>
      </c>
      <c r="Q198" s="59"/>
      <c r="R198" s="59" t="s">
        <v>104</v>
      </c>
      <c r="S198" s="123"/>
      <c r="T198" s="46"/>
      <c r="U198" s="46"/>
    </row>
    <row r="199" spans="1:24" x14ac:dyDescent="0.25">
      <c r="A199" s="372"/>
      <c r="B199" s="285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73">
        <f>G199*K199</f>
        <v>0</v>
      </c>
      <c r="P199" s="59" t="s">
        <v>104</v>
      </c>
      <c r="Q199" s="59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 x14ac:dyDescent="0.25">
      <c r="A200" s="372"/>
      <c r="B200" s="285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8" t="s">
        <v>104</v>
      </c>
      <c r="M200" s="59" t="s">
        <v>104</v>
      </c>
      <c r="N200" s="71">
        <f>O200</f>
        <v>28464.5</v>
      </c>
      <c r="O200" s="73">
        <f>G200*K200</f>
        <v>28464.5</v>
      </c>
      <c r="P200" s="59" t="s">
        <v>104</v>
      </c>
      <c r="Q200" s="59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120" x14ac:dyDescent="0.25">
      <c r="A201" s="372"/>
      <c r="B201" s="285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7" t="s">
        <v>185</v>
      </c>
      <c r="M201" s="70" t="s">
        <v>356</v>
      </c>
      <c r="N201" s="73">
        <f>SUM(O201:R201)</f>
        <v>0</v>
      </c>
      <c r="O201" s="73">
        <f>G201*K201</f>
        <v>0</v>
      </c>
      <c r="P201" s="73">
        <f>G201*4001.99</f>
        <v>0</v>
      </c>
      <c r="Q201" s="73"/>
      <c r="R201" s="73"/>
      <c r="S201" s="213"/>
      <c r="T201" s="46">
        <f>N201</f>
        <v>0</v>
      </c>
      <c r="U201" s="46">
        <f>T201</f>
        <v>0</v>
      </c>
    </row>
    <row r="202" spans="1:24" ht="105" x14ac:dyDescent="0.25">
      <c r="A202" s="372"/>
      <c r="B202" s="285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73">
        <f>G202*K202</f>
        <v>123193.34999999999</v>
      </c>
      <c r="P202" s="73"/>
      <c r="Q202" s="73"/>
      <c r="R202" s="73"/>
      <c r="S202" s="213"/>
      <c r="T202" s="46">
        <f>H202*K202</f>
        <v>123193.34999999999</v>
      </c>
      <c r="U202" s="46">
        <f>I202*K202</f>
        <v>123193.34999999999</v>
      </c>
    </row>
    <row r="203" spans="1:24" x14ac:dyDescent="0.25">
      <c r="A203" s="372"/>
      <c r="B203" s="285"/>
      <c r="C203" s="304" t="s">
        <v>106</v>
      </c>
      <c r="D203" s="64"/>
      <c r="E203" s="223" t="s">
        <v>325</v>
      </c>
      <c r="F203" s="223" t="s">
        <v>325</v>
      </c>
      <c r="G203" s="223" t="s">
        <v>325</v>
      </c>
      <c r="H203" s="223" t="s">
        <v>325</v>
      </c>
      <c r="I203" s="223" t="s">
        <v>325</v>
      </c>
      <c r="J203" s="73" t="s">
        <v>104</v>
      </c>
      <c r="K203" s="213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74">
        <f>SUM(O196:O202)</f>
        <v>5484433.5699999994</v>
      </c>
      <c r="P203" s="74">
        <f>SUM(P196:P202)</f>
        <v>432214.91999999993</v>
      </c>
      <c r="Q203" s="74"/>
      <c r="R203" s="103">
        <f>SUM(R196:R202)</f>
        <v>2190710.3200000003</v>
      </c>
      <c r="S203" s="185"/>
      <c r="T203" s="211">
        <f>SUM(T196:T202)</f>
        <v>8107358.8099999996</v>
      </c>
      <c r="U203" s="185">
        <f>T203</f>
        <v>8107358.8099999996</v>
      </c>
    </row>
    <row r="204" spans="1:24" ht="225" x14ac:dyDescent="0.25">
      <c r="A204" s="372"/>
      <c r="B204" s="285" t="s">
        <v>239</v>
      </c>
      <c r="C204" s="61" t="s">
        <v>128</v>
      </c>
      <c r="D204" s="62" t="s">
        <v>121</v>
      </c>
      <c r="E204" s="221" t="s">
        <v>326</v>
      </c>
      <c r="F204" s="221" t="s">
        <v>326</v>
      </c>
      <c r="G204" s="221" t="s">
        <v>326</v>
      </c>
      <c r="H204" s="221" t="s">
        <v>326</v>
      </c>
      <c r="I204" s="221" t="s">
        <v>326</v>
      </c>
      <c r="J204" s="297" t="s">
        <v>353</v>
      </c>
      <c r="K204" s="226" t="s">
        <v>348</v>
      </c>
      <c r="L204" s="217" t="s">
        <v>185</v>
      </c>
      <c r="M204" s="70" t="s">
        <v>357</v>
      </c>
      <c r="N204" s="73">
        <f>SUM(O204:R204)</f>
        <v>2609232.12</v>
      </c>
      <c r="O204" s="71">
        <f>((((844004.86*2)/12*8+(844004.86*2)/12*4)+((1998.78*18)/12*8+(1998.78*18)/12*4)))</f>
        <v>1723987.7599999998</v>
      </c>
      <c r="P204" s="73">
        <f>((18*4001.99)/12*8)+((18*4001.99)/12*4)</f>
        <v>72035.819999999992</v>
      </c>
      <c r="Q204" s="73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90" x14ac:dyDescent="0.25">
      <c r="A205" s="372"/>
      <c r="B205" s="285"/>
      <c r="C205" s="63" t="s">
        <v>163</v>
      </c>
      <c r="D205" s="64" t="s">
        <v>101</v>
      </c>
      <c r="E205" s="221"/>
      <c r="F205" s="221"/>
      <c r="G205" s="221"/>
      <c r="H205" s="121"/>
      <c r="I205" s="121"/>
      <c r="J205" s="107"/>
      <c r="K205" s="226"/>
      <c r="L205" s="217"/>
      <c r="M205" s="70"/>
      <c r="N205" s="73"/>
      <c r="O205" s="71"/>
      <c r="P205" s="73"/>
      <c r="Q205" s="73"/>
      <c r="R205" s="75"/>
      <c r="S205" s="46"/>
      <c r="T205" s="46"/>
      <c r="U205" s="46"/>
    </row>
    <row r="206" spans="1:24" x14ac:dyDescent="0.25">
      <c r="A206" s="372"/>
      <c r="B206" s="285"/>
      <c r="C206" s="63" t="s">
        <v>165</v>
      </c>
      <c r="D206" s="64" t="s">
        <v>101</v>
      </c>
      <c r="E206" s="221">
        <v>1</v>
      </c>
      <c r="F206" s="221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6">
        <v>112171.32</v>
      </c>
      <c r="L206" s="217"/>
      <c r="M206" s="70"/>
      <c r="N206" s="73">
        <f>O206</f>
        <v>112171.32</v>
      </c>
      <c r="O206" s="71">
        <f>K206*G206</f>
        <v>112171.32</v>
      </c>
      <c r="P206" s="73"/>
      <c r="Q206" s="73"/>
      <c r="R206" s="75"/>
      <c r="S206" s="46"/>
      <c r="T206" s="46">
        <f>G206*K206</f>
        <v>112171.32</v>
      </c>
      <c r="U206" s="46">
        <f>T206</f>
        <v>112171.32</v>
      </c>
    </row>
    <row r="207" spans="1:24" x14ac:dyDescent="0.25">
      <c r="A207" s="372"/>
      <c r="B207" s="285"/>
      <c r="C207" s="63" t="s">
        <v>168</v>
      </c>
      <c r="D207" s="64" t="s">
        <v>101</v>
      </c>
      <c r="E207" s="221"/>
      <c r="F207" s="221"/>
      <c r="G207" s="123">
        <f>((E207*8)+(F207*4))/12</f>
        <v>0</v>
      </c>
      <c r="H207" s="121"/>
      <c r="I207" s="121"/>
      <c r="J207" s="107">
        <f>K207</f>
        <v>28464.5</v>
      </c>
      <c r="K207" s="226">
        <v>28464.5</v>
      </c>
      <c r="L207" s="217"/>
      <c r="M207" s="70"/>
      <c r="N207" s="73">
        <f>O207</f>
        <v>0</v>
      </c>
      <c r="O207" s="71">
        <f>K207*G207</f>
        <v>0</v>
      </c>
      <c r="P207" s="73"/>
      <c r="Q207" s="73"/>
      <c r="R207" s="75"/>
      <c r="S207" s="46"/>
      <c r="T207" s="46">
        <f>G207*K207</f>
        <v>0</v>
      </c>
      <c r="U207" s="46">
        <f>T207</f>
        <v>0</v>
      </c>
    </row>
    <row r="208" spans="1:24" x14ac:dyDescent="0.25">
      <c r="A208" s="372"/>
      <c r="B208" s="285"/>
      <c r="C208" s="304" t="s">
        <v>106</v>
      </c>
      <c r="D208" s="64"/>
      <c r="E208" s="221" t="str">
        <f>E204</f>
        <v>2\18</v>
      </c>
      <c r="F208" s="221" t="str">
        <f>F204</f>
        <v>2\18</v>
      </c>
      <c r="G208" s="221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13" t="s">
        <v>104</v>
      </c>
      <c r="L208" s="185" t="s">
        <v>104</v>
      </c>
      <c r="M208" s="74" t="s">
        <v>104</v>
      </c>
      <c r="N208" s="103">
        <f>SUM(N204:N207)</f>
        <v>2721403.44</v>
      </c>
      <c r="O208" s="74">
        <f>SUM(O204:O207)</f>
        <v>1836159.0799999998</v>
      </c>
      <c r="P208" s="74">
        <f>SUM(P204:P207)</f>
        <v>72035.819999999992</v>
      </c>
      <c r="Q208" s="74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4" ht="102" customHeight="1" x14ac:dyDescent="0.25">
      <c r="A209" s="372"/>
      <c r="B209" s="137" t="s">
        <v>240</v>
      </c>
      <c r="C209" s="61" t="s">
        <v>186</v>
      </c>
      <c r="D209" s="64" t="s">
        <v>101</v>
      </c>
      <c r="E209" s="122">
        <v>439</v>
      </c>
      <c r="F209" s="122">
        <v>439</v>
      </c>
      <c r="G209" s="122">
        <v>439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2187427.25</v>
      </c>
      <c r="O209" s="73">
        <f>K209*G209</f>
        <v>2187427.25</v>
      </c>
      <c r="P209" s="73" t="s">
        <v>104</v>
      </c>
      <c r="Q209" s="73"/>
      <c r="R209" s="73" t="s">
        <v>104</v>
      </c>
      <c r="S209" s="213"/>
      <c r="T209" s="46">
        <f>N209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619560.1400000006</v>
      </c>
    </row>
    <row r="210" spans="1:24" x14ac:dyDescent="0.25">
      <c r="A210" s="372"/>
      <c r="B210" s="69"/>
      <c r="C210" s="304" t="s">
        <v>106</v>
      </c>
      <c r="D210" s="69"/>
      <c r="E210" s="122">
        <f>SUM(E209:E209)</f>
        <v>439</v>
      </c>
      <c r="F210" s="122">
        <f>SUM(F209:F209)</f>
        <v>439</v>
      </c>
      <c r="G210" s="122">
        <f>SUM(G209:G209)</f>
        <v>439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2187427.25</v>
      </c>
      <c r="O210" s="74">
        <f t="shared" si="55"/>
        <v>2187427.25</v>
      </c>
      <c r="P210" s="74">
        <f t="shared" si="55"/>
        <v>0</v>
      </c>
      <c r="Q210" s="74"/>
      <c r="R210" s="74">
        <f t="shared" si="55"/>
        <v>0</v>
      </c>
      <c r="S210" s="185"/>
      <c r="T210" s="185">
        <f>N210</f>
        <v>2187427.25</v>
      </c>
      <c r="U210" s="46">
        <f t="shared" si="54"/>
        <v>2187427.25</v>
      </c>
    </row>
    <row r="211" spans="1:24" ht="13.9" hidden="1" customHeight="1" x14ac:dyDescent="0.25">
      <c r="A211" s="372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74"/>
      <c r="P211" s="74"/>
      <c r="Q211" s="74"/>
      <c r="R211" s="74"/>
      <c r="S211" s="185"/>
      <c r="T211" s="185">
        <f>P211</f>
        <v>0</v>
      </c>
      <c r="U211" s="185">
        <f t="shared" si="54"/>
        <v>0</v>
      </c>
    </row>
    <row r="212" spans="1:24" ht="13.9" hidden="1" customHeight="1" x14ac:dyDescent="0.25">
      <c r="A212" s="372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74"/>
      <c r="P212" s="74"/>
      <c r="Q212" s="74"/>
      <c r="R212" s="74"/>
      <c r="S212" s="185"/>
      <c r="T212" s="185">
        <f>S212</f>
        <v>0</v>
      </c>
      <c r="U212" s="185">
        <f t="shared" si="54"/>
        <v>0</v>
      </c>
    </row>
    <row r="213" spans="1:24" ht="13.9" hidden="1" customHeight="1" x14ac:dyDescent="0.25">
      <c r="A213" s="372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74"/>
      <c r="P213" s="74"/>
      <c r="Q213" s="74"/>
      <c r="R213" s="74"/>
      <c r="S213" s="185"/>
      <c r="T213" s="185"/>
      <c r="U213" s="185"/>
    </row>
    <row r="214" spans="1:24" ht="13.9" hidden="1" customHeight="1" x14ac:dyDescent="0.25">
      <c r="A214" s="372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/>
      <c r="U214" s="185"/>
    </row>
    <row r="215" spans="1:24" x14ac:dyDescent="0.25">
      <c r="A215" s="372"/>
      <c r="B215" s="89" t="s">
        <v>291</v>
      </c>
      <c r="C215" s="181" t="s">
        <v>226</v>
      </c>
      <c r="D215" s="64"/>
      <c r="E215" s="122">
        <v>13</v>
      </c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1523340</v>
      </c>
      <c r="O215" s="74">
        <v>1523340</v>
      </c>
      <c r="P215" s="74"/>
      <c r="Q215" s="74"/>
      <c r="R215" s="74"/>
      <c r="S215" s="185"/>
      <c r="T215" s="185">
        <v>1523340</v>
      </c>
      <c r="U215" s="185">
        <f>T215</f>
        <v>1523340</v>
      </c>
    </row>
    <row r="216" spans="1:24" ht="13.9" hidden="1" customHeight="1" x14ac:dyDescent="0.25">
      <c r="A216" s="372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74"/>
      <c r="P216" s="74"/>
      <c r="Q216" s="74"/>
      <c r="R216" s="74"/>
      <c r="S216" s="185"/>
      <c r="T216" s="185">
        <f>O216</f>
        <v>0</v>
      </c>
      <c r="U216" s="185">
        <f t="shared" si="54"/>
        <v>0</v>
      </c>
    </row>
    <row r="217" spans="1:24" ht="13.9" hidden="1" customHeight="1" x14ac:dyDescent="0.25">
      <c r="A217" s="372"/>
      <c r="B217" s="89" t="s">
        <v>292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74"/>
      <c r="P217" s="74"/>
      <c r="Q217" s="74"/>
      <c r="R217" s="74"/>
      <c r="S217" s="185"/>
      <c r="T217" s="185"/>
      <c r="U217" s="185">
        <f>T217</f>
        <v>0</v>
      </c>
    </row>
    <row r="218" spans="1:24" x14ac:dyDescent="0.25">
      <c r="A218" s="372"/>
      <c r="B218" s="331" t="s">
        <v>112</v>
      </c>
      <c r="C218" s="331"/>
      <c r="D218" s="332"/>
      <c r="E218" s="333">
        <v>218</v>
      </c>
      <c r="F218" s="333">
        <v>218</v>
      </c>
      <c r="G218" s="220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20938720.460000001</v>
      </c>
      <c r="O218" s="103">
        <f>O195+O203+O208+O210+O215+O216</f>
        <v>15142373.99</v>
      </c>
      <c r="P218" s="103">
        <f>P195+P203+P208+P210+P211+P212+P213+P217</f>
        <v>872433.81999999983</v>
      </c>
      <c r="Q218" s="103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20938720.460000001</v>
      </c>
      <c r="U218" s="138">
        <f>U195+U203+U208+U210+U211+U212+U213+U214+U215+U216+U217</f>
        <v>20938720.460000001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</row>
    <row r="219" spans="1:24" ht="27" customHeight="1" x14ac:dyDescent="0.25">
      <c r="A219" s="355"/>
      <c r="B219" s="398" t="s">
        <v>231</v>
      </c>
      <c r="C219" s="399"/>
      <c r="D219" s="399"/>
      <c r="E219" s="399"/>
      <c r="F219" s="399"/>
      <c r="G219" s="399"/>
      <c r="H219" s="399"/>
      <c r="I219" s="399"/>
      <c r="J219" s="399"/>
      <c r="K219" s="399"/>
      <c r="L219" s="399"/>
      <c r="M219" s="400"/>
      <c r="N219" s="354">
        <f>N218+N186+N148+N113+N80+N46-0.01</f>
        <v>227535171.62</v>
      </c>
      <c r="O219" s="354">
        <f>O218+O186+O148+O113+O80+O46</f>
        <v>164540514.27000001</v>
      </c>
      <c r="P219" s="354">
        <f>P218+P186+P148+P113+P80+P46</f>
        <v>13246586.899999999</v>
      </c>
      <c r="Q219" s="354">
        <f>Q218+Q186+Q148+Q113+Q80+Q46</f>
        <v>0</v>
      </c>
      <c r="R219" s="354">
        <f>R218+R186+R148+R113+R80+R46</f>
        <v>49748070.450000003</v>
      </c>
      <c r="S219" s="216">
        <f>S218+S186+S148+S113+S80+S46</f>
        <v>0</v>
      </c>
      <c r="T219" s="216">
        <f>T218+T186+T148+T113+T80+T46-0.01</f>
        <v>227535171.62000006</v>
      </c>
      <c r="U219" s="216">
        <f>U218+U186+U148+U113+U80+U46-0.01</f>
        <v>227535171.62000006</v>
      </c>
      <c r="X219" s="70"/>
    </row>
    <row r="220" spans="1:24" x14ac:dyDescent="0.25">
      <c r="A220" s="182" t="s">
        <v>233</v>
      </c>
      <c r="T220" s="292"/>
      <c r="U220" s="292"/>
    </row>
    <row r="221" spans="1:24" x14ac:dyDescent="0.25">
      <c r="A221" s="182" t="s">
        <v>178</v>
      </c>
      <c r="O221" s="192"/>
      <c r="T221" s="187"/>
    </row>
    <row r="222" spans="1:24" x14ac:dyDescent="0.25">
      <c r="O222" s="192"/>
      <c r="T222" s="187"/>
      <c r="U222" s="187"/>
    </row>
    <row r="223" spans="1:24" x14ac:dyDescent="0.25">
      <c r="O223" s="192"/>
      <c r="R223" s="192"/>
      <c r="S223" s="187"/>
      <c r="V223" s="192"/>
    </row>
    <row r="224" spans="1:24" x14ac:dyDescent="0.25">
      <c r="O224" s="192"/>
      <c r="P224" s="192"/>
      <c r="R224" s="192"/>
    </row>
    <row r="225" spans="9:20" x14ac:dyDescent="0.25">
      <c r="O225" s="192"/>
      <c r="P225" s="192"/>
      <c r="R225" s="192"/>
      <c r="T225" s="187"/>
    </row>
    <row r="226" spans="9:20" x14ac:dyDescent="0.25">
      <c r="O226" s="192"/>
      <c r="P226" s="192"/>
    </row>
    <row r="227" spans="9:20" x14ac:dyDescent="0.25">
      <c r="O227" s="192"/>
      <c r="P227" s="192"/>
    </row>
    <row r="228" spans="9:20" x14ac:dyDescent="0.25">
      <c r="O228" s="192"/>
      <c r="P228" s="192"/>
    </row>
    <row r="229" spans="9:20" x14ac:dyDescent="0.25">
      <c r="O229" s="192"/>
      <c r="P229" s="192"/>
    </row>
    <row r="230" spans="9:20" x14ac:dyDescent="0.25">
      <c r="O230" s="192"/>
      <c r="P230" s="192"/>
    </row>
    <row r="231" spans="9:20" x14ac:dyDescent="0.25">
      <c r="I231" s="293"/>
      <c r="O231" s="192"/>
      <c r="P231" s="192"/>
    </row>
    <row r="232" spans="9:20" x14ac:dyDescent="0.25">
      <c r="O232" s="192"/>
      <c r="P232" s="192"/>
    </row>
    <row r="233" spans="9:20" x14ac:dyDescent="0.25">
      <c r="O233" s="192"/>
      <c r="P233" s="192"/>
    </row>
    <row r="234" spans="9:20" x14ac:dyDescent="0.25">
      <c r="O234" s="192"/>
      <c r="P234" s="192"/>
    </row>
    <row r="235" spans="9:20" x14ac:dyDescent="0.25">
      <c r="O235" s="192"/>
      <c r="P235" s="192"/>
    </row>
    <row r="236" spans="9:20" x14ac:dyDescent="0.25">
      <c r="O236" s="192"/>
      <c r="P236" s="192"/>
    </row>
    <row r="237" spans="9:20" x14ac:dyDescent="0.25">
      <c r="O237" s="192"/>
      <c r="P237" s="192"/>
    </row>
    <row r="238" spans="9:20" x14ac:dyDescent="0.25">
      <c r="R238" s="192"/>
    </row>
    <row r="239" spans="9:20" x14ac:dyDescent="0.25">
      <c r="R239" s="192"/>
    </row>
    <row r="240" spans="9:20" x14ac:dyDescent="0.25">
      <c r="O240" s="192"/>
      <c r="R240" s="192"/>
    </row>
    <row r="261" spans="1:17" x14ac:dyDescent="0.25">
      <c r="O261" s="192"/>
      <c r="P261" s="192"/>
      <c r="Q261" s="192"/>
    </row>
    <row r="262" spans="1:17" x14ac:dyDescent="0.25">
      <c r="O262" s="192"/>
      <c r="P262" s="192"/>
      <c r="Q262" s="192"/>
    </row>
    <row r="263" spans="1:17" x14ac:dyDescent="0.25">
      <c r="O263" s="192"/>
      <c r="P263" s="192"/>
      <c r="Q263" s="192"/>
    </row>
    <row r="266" spans="1:17" x14ac:dyDescent="0.25">
      <c r="O266" s="192"/>
    </row>
    <row r="268" spans="1:17" x14ac:dyDescent="0.25">
      <c r="H268" s="182">
        <v>2</v>
      </c>
    </row>
    <row r="269" spans="1:17" ht="13.9" hidden="1" customHeight="1" x14ac:dyDescent="0.25">
      <c r="D269" s="180">
        <v>286</v>
      </c>
      <c r="E269" s="207"/>
      <c r="F269" s="207"/>
      <c r="G269" s="207">
        <v>3</v>
      </c>
      <c r="H269" s="180">
        <v>244</v>
      </c>
      <c r="I269" s="180">
        <v>46</v>
      </c>
      <c r="J269" s="180">
        <v>69</v>
      </c>
      <c r="K269" s="207">
        <f>D269+G269+H269+I269+J269</f>
        <v>648</v>
      </c>
      <c r="L269" s="189" t="s">
        <v>297</v>
      </c>
      <c r="M269" s="182" t="s">
        <v>298</v>
      </c>
      <c r="N269" s="182" t="s">
        <v>299</v>
      </c>
    </row>
    <row r="270" spans="1:17" ht="27.6" hidden="1" customHeight="1" x14ac:dyDescent="0.25">
      <c r="A270" s="182" t="s">
        <v>296</v>
      </c>
      <c r="B270" s="196" t="s">
        <v>284</v>
      </c>
      <c r="C270" s="203">
        <v>118131</v>
      </c>
      <c r="D270" s="204"/>
      <c r="E270" s="208"/>
      <c r="F270" s="208"/>
      <c r="G270" s="208"/>
      <c r="H270" s="202"/>
      <c r="I270" s="202"/>
      <c r="J270" s="202"/>
      <c r="K270" s="208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92">
        <f>L270+M270+N270</f>
        <v>5463269</v>
      </c>
    </row>
    <row r="271" spans="1:17" ht="13.9" hidden="1" customHeight="1" x14ac:dyDescent="0.25">
      <c r="B271" s="89" t="s">
        <v>225</v>
      </c>
      <c r="C271" s="203">
        <v>3308494</v>
      </c>
      <c r="D271" s="204"/>
      <c r="E271" s="208"/>
      <c r="F271" s="208"/>
      <c r="G271" s="208"/>
      <c r="H271" s="202"/>
      <c r="I271" s="202"/>
      <c r="J271" s="202"/>
      <c r="K271" s="208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" hidden="1" customHeight="1" x14ac:dyDescent="0.25">
      <c r="B272" s="89" t="s">
        <v>225</v>
      </c>
      <c r="C272" s="203"/>
      <c r="D272" s="204"/>
      <c r="E272" s="208"/>
      <c r="F272" s="208"/>
      <c r="G272" s="208"/>
      <c r="H272" s="202"/>
      <c r="I272" s="202"/>
      <c r="J272" s="202"/>
      <c r="K272" s="208"/>
      <c r="L272" s="187"/>
    </row>
    <row r="273" spans="1:15" ht="13.9" hidden="1" customHeight="1" x14ac:dyDescent="0.25">
      <c r="B273" s="89" t="s">
        <v>283</v>
      </c>
      <c r="C273" s="203">
        <v>275902</v>
      </c>
      <c r="D273" s="204"/>
      <c r="E273" s="208"/>
      <c r="F273" s="208"/>
      <c r="G273" s="208"/>
      <c r="H273" s="202"/>
      <c r="I273" s="202"/>
      <c r="J273" s="202"/>
      <c r="K273" s="208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" hidden="1" customHeight="1" x14ac:dyDescent="0.25">
      <c r="B274" s="89" t="s">
        <v>291</v>
      </c>
      <c r="C274" s="203">
        <v>1083264</v>
      </c>
      <c r="D274" s="202"/>
      <c r="E274" s="208"/>
      <c r="F274" s="208"/>
      <c r="G274" s="208"/>
      <c r="H274" s="202"/>
      <c r="I274" s="202"/>
      <c r="J274" s="202"/>
      <c r="K274" s="208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" hidden="1" customHeight="1" x14ac:dyDescent="0.25">
      <c r="B275" s="89" t="s">
        <v>257</v>
      </c>
      <c r="C275" s="203">
        <v>272890</v>
      </c>
      <c r="D275" s="202"/>
      <c r="E275" s="208"/>
      <c r="F275" s="208"/>
      <c r="G275" s="208"/>
      <c r="H275" s="202"/>
      <c r="I275" s="202"/>
      <c r="J275" s="202"/>
      <c r="K275" s="208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" hidden="1" customHeight="1" x14ac:dyDescent="0.25">
      <c r="B276" s="89" t="s">
        <v>292</v>
      </c>
      <c r="C276" s="203">
        <v>404588</v>
      </c>
      <c r="D276" s="202"/>
      <c r="E276" s="208"/>
      <c r="F276" s="208"/>
      <c r="G276" s="208"/>
      <c r="H276" s="202"/>
      <c r="I276" s="202"/>
      <c r="J276" s="202"/>
      <c r="K276" s="208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92">
        <f t="shared" ref="O276:O281" si="56">L276+M276+N276</f>
        <v>961005.90123456786</v>
      </c>
    </row>
    <row r="277" spans="1:15" ht="13.9" hidden="1" customHeight="1" x14ac:dyDescent="0.25">
      <c r="B277" s="101" t="s">
        <v>112</v>
      </c>
      <c r="C277" s="203">
        <f>SUM(C270:C276)</f>
        <v>5463269</v>
      </c>
      <c r="D277" s="202"/>
      <c r="E277" s="208"/>
      <c r="F277" s="208"/>
      <c r="G277" s="208"/>
      <c r="H277" s="202"/>
      <c r="I277" s="202"/>
      <c r="J277" s="202"/>
      <c r="K277" s="208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92">
        <f t="shared" si="56"/>
        <v>10080.481481481482</v>
      </c>
    </row>
    <row r="278" spans="1:15" ht="13.9" hidden="1" customHeight="1" x14ac:dyDescent="0.25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92">
        <f t="shared" si="56"/>
        <v>813158.83950617281</v>
      </c>
    </row>
    <row r="279" spans="1:15" ht="13.9" hidden="1" customHeight="1" x14ac:dyDescent="0.25">
      <c r="D279" s="200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92">
        <f t="shared" si="56"/>
        <v>6720.3209876543206</v>
      </c>
    </row>
    <row r="280" spans="1:15" ht="13.9" hidden="1" customHeight="1" x14ac:dyDescent="0.25">
      <c r="D280" s="201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92">
        <f t="shared" si="56"/>
        <v>154567.38271604938</v>
      </c>
    </row>
    <row r="281" spans="1:15" ht="13.9" hidden="1" customHeight="1" x14ac:dyDescent="0.25">
      <c r="D281" s="201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92">
        <f t="shared" si="56"/>
        <v>231851.07407407407</v>
      </c>
    </row>
    <row r="282" spans="1:15" ht="13.9" hidden="1" customHeight="1" x14ac:dyDescent="0.25">
      <c r="D282" s="201"/>
    </row>
    <row r="283" spans="1:15" ht="13.9" hidden="1" customHeight="1" x14ac:dyDescent="0.25">
      <c r="D283" s="201"/>
    </row>
    <row r="284" spans="1:15" ht="13.9" hidden="1" customHeight="1" x14ac:dyDescent="0.25">
      <c r="D284" s="201"/>
    </row>
    <row r="285" spans="1:15" ht="13.9" hidden="1" customHeight="1" x14ac:dyDescent="0.25">
      <c r="D285" s="180">
        <v>261</v>
      </c>
      <c r="E285" s="207"/>
      <c r="F285" s="207"/>
      <c r="G285" s="207">
        <v>2</v>
      </c>
      <c r="H285" s="180">
        <v>219</v>
      </c>
      <c r="I285" s="180">
        <v>2</v>
      </c>
      <c r="J285" s="180">
        <v>44</v>
      </c>
      <c r="K285" s="207">
        <f>D285+G285+H285+I285+J285</f>
        <v>528</v>
      </c>
      <c r="L285" s="189" t="s">
        <v>297</v>
      </c>
      <c r="M285" s="182" t="s">
        <v>298</v>
      </c>
      <c r="N285" s="182" t="s">
        <v>299</v>
      </c>
    </row>
    <row r="286" spans="1:15" ht="27.6" hidden="1" customHeight="1" x14ac:dyDescent="0.25">
      <c r="A286" s="182" t="s">
        <v>300</v>
      </c>
      <c r="B286" s="196" t="s">
        <v>284</v>
      </c>
      <c r="C286" s="203">
        <v>96255</v>
      </c>
      <c r="D286" s="204"/>
      <c r="E286" s="208"/>
      <c r="F286" s="208"/>
      <c r="G286" s="208"/>
      <c r="H286" s="202"/>
      <c r="I286" s="202"/>
      <c r="J286" s="202"/>
      <c r="K286" s="208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92">
        <f>L286+M286+N286</f>
        <v>6181420</v>
      </c>
    </row>
    <row r="287" spans="1:15" ht="13.9" hidden="1" customHeight="1" x14ac:dyDescent="0.25">
      <c r="B287" s="89" t="s">
        <v>225</v>
      </c>
      <c r="C287" s="203">
        <v>3813252</v>
      </c>
      <c r="D287" s="204"/>
      <c r="E287" s="208"/>
      <c r="F287" s="208"/>
      <c r="G287" s="208"/>
      <c r="H287" s="202"/>
      <c r="I287" s="202"/>
      <c r="J287" s="202"/>
      <c r="K287" s="208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" hidden="1" customHeight="1" x14ac:dyDescent="0.25">
      <c r="B288" s="89" t="s">
        <v>225</v>
      </c>
      <c r="C288" s="203">
        <v>606031</v>
      </c>
      <c r="D288" s="204"/>
      <c r="E288" s="208"/>
      <c r="F288" s="208"/>
      <c r="G288" s="208"/>
      <c r="H288" s="202"/>
      <c r="I288" s="202"/>
      <c r="J288" s="202"/>
      <c r="K288" s="208"/>
    </row>
    <row r="289" spans="1:15" ht="13.9" hidden="1" customHeight="1" x14ac:dyDescent="0.25">
      <c r="B289" s="89" t="s">
        <v>283</v>
      </c>
      <c r="C289" s="203">
        <v>309345</v>
      </c>
      <c r="D289" s="204"/>
      <c r="E289" s="208"/>
      <c r="F289" s="208"/>
      <c r="G289" s="208"/>
      <c r="H289" s="202"/>
      <c r="I289" s="202"/>
      <c r="J289" s="202"/>
      <c r="K289" s="208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" hidden="1" customHeight="1" x14ac:dyDescent="0.25">
      <c r="B290" s="89" t="s">
        <v>291</v>
      </c>
      <c r="C290" s="203">
        <v>874944</v>
      </c>
      <c r="D290" s="202"/>
      <c r="E290" s="208"/>
      <c r="F290" s="208"/>
      <c r="G290" s="208"/>
      <c r="H290" s="202"/>
      <c r="I290" s="202"/>
      <c r="J290" s="202"/>
      <c r="K290" s="208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" hidden="1" customHeight="1" x14ac:dyDescent="0.25">
      <c r="B291" s="89" t="s">
        <v>257</v>
      </c>
      <c r="C291" s="203">
        <v>152733</v>
      </c>
      <c r="D291" s="202"/>
      <c r="E291" s="208"/>
      <c r="F291" s="208"/>
      <c r="G291" s="208"/>
      <c r="H291" s="202"/>
      <c r="I291" s="202"/>
      <c r="J291" s="202"/>
      <c r="K291" s="208"/>
      <c r="L291" s="292">
        <f>L290/K285</f>
        <v>444.05113636363637</v>
      </c>
      <c r="M291" s="210">
        <f>M290/K285</f>
        <v>3314.181818181818</v>
      </c>
      <c r="N291" s="210">
        <f>N290/K285</f>
        <v>-585.88068181818187</v>
      </c>
    </row>
    <row r="292" spans="1:15" ht="13.9" hidden="1" customHeight="1" x14ac:dyDescent="0.25">
      <c r="B292" s="89" t="s">
        <v>292</v>
      </c>
      <c r="C292" s="203">
        <v>328860</v>
      </c>
      <c r="D292" s="202"/>
      <c r="E292" s="208"/>
      <c r="F292" s="208"/>
      <c r="G292" s="208"/>
      <c r="H292" s="202"/>
      <c r="I292" s="202"/>
      <c r="J292" s="202"/>
      <c r="K292" s="208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92">
        <f>L292+M292+N292</f>
        <v>827983.94318181812</v>
      </c>
    </row>
    <row r="293" spans="1:15" ht="13.9" hidden="1" customHeight="1" x14ac:dyDescent="0.25">
      <c r="B293" s="101" t="s">
        <v>112</v>
      </c>
      <c r="C293" s="203">
        <f>SUM(C286:C292)</f>
        <v>6181420</v>
      </c>
      <c r="D293" s="202"/>
      <c r="E293" s="208"/>
      <c r="F293" s="208"/>
      <c r="G293" s="208"/>
      <c r="H293" s="202"/>
      <c r="I293" s="202"/>
      <c r="J293" s="202"/>
      <c r="K293" s="208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92">
        <f>L293+M293+N293</f>
        <v>6344.704545454545</v>
      </c>
    </row>
    <row r="294" spans="1:15" ht="13.9" hidden="1" customHeight="1" x14ac:dyDescent="0.25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92">
        <f>L294+M294+N294</f>
        <v>694745.14772727271</v>
      </c>
    </row>
    <row r="295" spans="1:15" ht="13.9" hidden="1" customHeight="1" x14ac:dyDescent="0.25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92">
        <f>L295+M295+N295</f>
        <v>6344.704545454545</v>
      </c>
    </row>
    <row r="296" spans="1:15" ht="13.9" hidden="1" customHeight="1" x14ac:dyDescent="0.25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92">
        <f>L296+M296+N296</f>
        <v>139583.5</v>
      </c>
    </row>
    <row r="297" spans="1:15" ht="13.9" hidden="1" customHeight="1" x14ac:dyDescent="0.25"/>
    <row r="298" spans="1:15" ht="13.9" hidden="1" customHeight="1" x14ac:dyDescent="0.25">
      <c r="D298" s="180">
        <v>242</v>
      </c>
      <c r="E298" s="207"/>
      <c r="F298" s="207"/>
      <c r="G298" s="207">
        <v>1</v>
      </c>
      <c r="H298" s="180">
        <v>224</v>
      </c>
      <c r="I298" s="180">
        <v>3</v>
      </c>
      <c r="J298" s="180">
        <v>69</v>
      </c>
      <c r="K298" s="207">
        <f>D298+G298+H298+I298+J298</f>
        <v>539</v>
      </c>
      <c r="L298" s="189" t="s">
        <v>297</v>
      </c>
      <c r="M298" s="182" t="s">
        <v>298</v>
      </c>
      <c r="N298" s="182" t="s">
        <v>299</v>
      </c>
    </row>
    <row r="299" spans="1:15" ht="27.6" hidden="1" customHeight="1" x14ac:dyDescent="0.25">
      <c r="A299" s="182" t="s">
        <v>301</v>
      </c>
      <c r="B299" s="196" t="s">
        <v>284</v>
      </c>
      <c r="C299" s="203">
        <v>98261</v>
      </c>
      <c r="D299" s="204"/>
      <c r="E299" s="208"/>
      <c r="F299" s="208"/>
      <c r="G299" s="208"/>
      <c r="H299" s="202"/>
      <c r="I299" s="202"/>
      <c r="J299" s="202"/>
      <c r="K299" s="208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92">
        <f>L299+M299+N299</f>
        <v>2952484</v>
      </c>
    </row>
    <row r="300" spans="1:15" ht="13.9" hidden="1" customHeight="1" x14ac:dyDescent="0.25">
      <c r="B300" s="89" t="s">
        <v>225</v>
      </c>
      <c r="C300" s="203">
        <v>1362189</v>
      </c>
      <c r="D300" s="204"/>
      <c r="E300" s="208"/>
      <c r="F300" s="208"/>
      <c r="G300" s="208"/>
      <c r="H300" s="202"/>
      <c r="I300" s="202"/>
      <c r="J300" s="202"/>
      <c r="K300" s="208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" hidden="1" customHeight="1" x14ac:dyDescent="0.25">
      <c r="B301" s="89" t="s">
        <v>225</v>
      </c>
      <c r="C301" s="203">
        <v>164828</v>
      </c>
      <c r="D301" s="204"/>
      <c r="E301" s="208"/>
      <c r="F301" s="208"/>
      <c r="G301" s="208"/>
      <c r="H301" s="202"/>
      <c r="I301" s="202"/>
      <c r="J301" s="202"/>
      <c r="K301" s="208"/>
    </row>
    <row r="302" spans="1:15" ht="13.9" hidden="1" customHeight="1" x14ac:dyDescent="0.25">
      <c r="B302" s="89" t="s">
        <v>283</v>
      </c>
      <c r="C302" s="203">
        <v>117049</v>
      </c>
      <c r="D302" s="204"/>
      <c r="E302" s="208"/>
      <c r="F302" s="208"/>
      <c r="G302" s="208"/>
      <c r="H302" s="202"/>
      <c r="I302" s="202"/>
      <c r="J302" s="202"/>
      <c r="K302" s="208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" hidden="1" customHeight="1" x14ac:dyDescent="0.25">
      <c r="B303" s="89" t="s">
        <v>291</v>
      </c>
      <c r="C303" s="203">
        <v>874944</v>
      </c>
      <c r="D303" s="202"/>
      <c r="E303" s="208"/>
      <c r="F303" s="208"/>
      <c r="G303" s="208"/>
      <c r="H303" s="202"/>
      <c r="I303" s="202"/>
      <c r="J303" s="202"/>
      <c r="K303" s="208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" hidden="1" customHeight="1" x14ac:dyDescent="0.25">
      <c r="B304" s="89" t="s">
        <v>257</v>
      </c>
      <c r="C304" s="203">
        <v>0</v>
      </c>
      <c r="D304" s="202"/>
      <c r="E304" s="208"/>
      <c r="F304" s="208"/>
      <c r="G304" s="208"/>
      <c r="H304" s="202"/>
      <c r="I304" s="202"/>
      <c r="J304" s="202"/>
      <c r="K304" s="208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" hidden="1" customHeight="1" x14ac:dyDescent="0.25">
      <c r="B305" s="89" t="s">
        <v>292</v>
      </c>
      <c r="C305" s="203">
        <v>335213</v>
      </c>
      <c r="D305" s="202"/>
      <c r="E305" s="208"/>
      <c r="F305" s="208"/>
      <c r="G305" s="208"/>
      <c r="H305" s="202"/>
      <c r="I305" s="202"/>
      <c r="J305" s="202"/>
      <c r="K305" s="208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92">
        <f>L305+M305+N305</f>
        <v>840796</v>
      </c>
    </row>
    <row r="306" spans="1:15" ht="13.9" hidden="1" customHeight="1" x14ac:dyDescent="0.25">
      <c r="B306" s="101" t="s">
        <v>112</v>
      </c>
      <c r="C306" s="203">
        <f>SUM(C299:C305)</f>
        <v>2952484</v>
      </c>
      <c r="D306" s="202"/>
      <c r="E306" s="208"/>
      <c r="F306" s="208"/>
      <c r="G306" s="208"/>
      <c r="H306" s="202"/>
      <c r="I306" s="202"/>
      <c r="J306" s="202"/>
      <c r="K306" s="208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92">
        <f>L306+M306+N306</f>
        <v>3474.363636363636</v>
      </c>
    </row>
    <row r="307" spans="1:15" ht="13.9" hidden="1" customHeight="1" x14ac:dyDescent="0.25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92">
        <f>L307+M307+N307</f>
        <v>778257.45454545447</v>
      </c>
    </row>
    <row r="308" spans="1:15" ht="13.9" hidden="1" customHeight="1" x14ac:dyDescent="0.25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92">
        <f>L308+M308+N308</f>
        <v>10423.09090909091</v>
      </c>
    </row>
    <row r="309" spans="1:15" ht="13.9" hidden="1" customHeight="1" x14ac:dyDescent="0.25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92">
        <f>L309+M309+N309</f>
        <v>239731.09090909091</v>
      </c>
    </row>
    <row r="310" spans="1:15" ht="13.9" hidden="1" customHeight="1" x14ac:dyDescent="0.25"/>
    <row r="311" spans="1:15" ht="13.9" hidden="1" customHeight="1" x14ac:dyDescent="0.25">
      <c r="D311" s="180">
        <v>206</v>
      </c>
      <c r="E311" s="207"/>
      <c r="F311" s="207"/>
      <c r="G311" s="207">
        <v>5</v>
      </c>
      <c r="H311" s="180">
        <v>238</v>
      </c>
      <c r="I311" s="180">
        <v>1</v>
      </c>
      <c r="J311" s="180">
        <v>33</v>
      </c>
      <c r="K311" s="207">
        <f>D311+G311+H311+I311+J311</f>
        <v>483</v>
      </c>
      <c r="L311" s="189" t="s">
        <v>297</v>
      </c>
      <c r="M311" s="182" t="s">
        <v>298</v>
      </c>
      <c r="N311" s="182" t="s">
        <v>299</v>
      </c>
    </row>
    <row r="312" spans="1:15" ht="27.6" hidden="1" customHeight="1" x14ac:dyDescent="0.25">
      <c r="A312" s="182" t="s">
        <v>302</v>
      </c>
      <c r="B312" s="196" t="s">
        <v>284</v>
      </c>
      <c r="C312" s="203">
        <v>88052</v>
      </c>
      <c r="D312" s="204"/>
      <c r="E312" s="208"/>
      <c r="F312" s="208"/>
      <c r="G312" s="208"/>
      <c r="H312" s="202"/>
      <c r="I312" s="202"/>
      <c r="J312" s="202"/>
      <c r="K312" s="208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92">
        <f>L312+M312+N312</f>
        <v>3801172</v>
      </c>
    </row>
    <row r="313" spans="1:15" ht="13.9" hidden="1" customHeight="1" x14ac:dyDescent="0.25">
      <c r="B313" s="89" t="s">
        <v>225</v>
      </c>
      <c r="C313" s="203">
        <v>2026333</v>
      </c>
      <c r="D313" s="204"/>
      <c r="E313" s="208"/>
      <c r="F313" s="208"/>
      <c r="G313" s="208"/>
      <c r="H313" s="202"/>
      <c r="I313" s="202"/>
      <c r="J313" s="202"/>
      <c r="K313" s="208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" hidden="1" customHeight="1" x14ac:dyDescent="0.25">
      <c r="B314" s="89" t="s">
        <v>225</v>
      </c>
      <c r="C314" s="203">
        <v>0</v>
      </c>
      <c r="D314" s="204"/>
      <c r="E314" s="208"/>
      <c r="F314" s="208"/>
      <c r="G314" s="208"/>
      <c r="H314" s="202"/>
      <c r="I314" s="202"/>
      <c r="J314" s="202"/>
      <c r="K314" s="208"/>
    </row>
    <row r="315" spans="1:15" ht="13.9" hidden="1" customHeight="1" x14ac:dyDescent="0.25">
      <c r="B315" s="89" t="s">
        <v>283</v>
      </c>
      <c r="C315" s="203">
        <v>200669</v>
      </c>
      <c r="D315" s="204"/>
      <c r="E315" s="208"/>
      <c r="F315" s="208"/>
      <c r="G315" s="208"/>
      <c r="H315" s="202"/>
      <c r="I315" s="202"/>
      <c r="J315" s="202"/>
      <c r="K315" s="208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" hidden="1" customHeight="1" x14ac:dyDescent="0.25">
      <c r="B316" s="89" t="s">
        <v>291</v>
      </c>
      <c r="C316" s="203">
        <v>833280</v>
      </c>
      <c r="D316" s="202"/>
      <c r="E316" s="208"/>
      <c r="F316" s="208"/>
      <c r="G316" s="208"/>
      <c r="H316" s="202"/>
      <c r="I316" s="202"/>
      <c r="J316" s="202"/>
      <c r="K316" s="208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" hidden="1" customHeight="1" x14ac:dyDescent="0.25">
      <c r="B317" s="89" t="s">
        <v>257</v>
      </c>
      <c r="C317" s="203">
        <v>351966</v>
      </c>
      <c r="D317" s="202"/>
      <c r="E317" s="208"/>
      <c r="F317" s="208"/>
      <c r="G317" s="208"/>
      <c r="H317" s="202"/>
      <c r="I317" s="202"/>
      <c r="J317" s="202"/>
      <c r="K317" s="208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" hidden="1" customHeight="1" x14ac:dyDescent="0.25">
      <c r="B318" s="89" t="s">
        <v>292</v>
      </c>
      <c r="C318" s="203">
        <v>300872</v>
      </c>
      <c r="D318" s="202"/>
      <c r="E318" s="208"/>
      <c r="F318" s="208"/>
      <c r="G318" s="208"/>
      <c r="H318" s="202"/>
      <c r="I318" s="202"/>
      <c r="J318" s="202"/>
      <c r="K318" s="208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92">
        <f>L318+M318+N318</f>
        <v>716661.63146997918</v>
      </c>
    </row>
    <row r="319" spans="1:15" ht="13.9" hidden="1" customHeight="1" x14ac:dyDescent="0.25">
      <c r="B319" s="101" t="s">
        <v>112</v>
      </c>
      <c r="C319" s="203">
        <f>SUM(C312:C318)</f>
        <v>3801172</v>
      </c>
      <c r="D319" s="202"/>
      <c r="E319" s="208"/>
      <c r="F319" s="208"/>
      <c r="G319" s="208"/>
      <c r="H319" s="202"/>
      <c r="I319" s="202"/>
      <c r="J319" s="202"/>
      <c r="K319" s="208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92">
        <f>L319+M319+N319</f>
        <v>17394.699792960659</v>
      </c>
    </row>
    <row r="320" spans="1:15" ht="13.9" hidden="1" customHeight="1" x14ac:dyDescent="0.25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92">
        <f>L320+M320+N320</f>
        <v>827987.71014492749</v>
      </c>
    </row>
    <row r="321" spans="1:17" ht="13.9" hidden="1" customHeight="1" x14ac:dyDescent="0.25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92">
        <f>L321+M321+N321</f>
        <v>3478.9399585921324</v>
      </c>
    </row>
    <row r="322" spans="1:17" ht="13.9" hidden="1" customHeight="1" x14ac:dyDescent="0.25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92">
        <f>L322+M322+N322</f>
        <v>114805.01863354037</v>
      </c>
    </row>
    <row r="323" spans="1:17" ht="13.9" hidden="1" customHeight="1" x14ac:dyDescent="0.25">
      <c r="N323" s="182" t="s">
        <v>297</v>
      </c>
      <c r="O323" s="182" t="s">
        <v>298</v>
      </c>
      <c r="P323" s="182" t="s">
        <v>299</v>
      </c>
    </row>
    <row r="324" spans="1:17" ht="13.9" hidden="1" customHeight="1" x14ac:dyDescent="0.25">
      <c r="D324" s="180">
        <v>316</v>
      </c>
      <c r="E324" s="207"/>
      <c r="F324" s="207"/>
      <c r="G324" s="207">
        <v>2</v>
      </c>
      <c r="H324" s="180">
        <v>196</v>
      </c>
      <c r="I324" s="180">
        <v>206</v>
      </c>
      <c r="J324" s="180">
        <v>1</v>
      </c>
      <c r="K324" s="207">
        <v>51</v>
      </c>
      <c r="L324" s="207">
        <v>53</v>
      </c>
      <c r="M324" s="180">
        <f>D324+G324+H324+I324+J324+K324+L324</f>
        <v>825</v>
      </c>
    </row>
    <row r="325" spans="1:17" ht="27.6" hidden="1" customHeight="1" x14ac:dyDescent="0.25">
      <c r="A325" s="182" t="s">
        <v>303</v>
      </c>
      <c r="B325" s="196" t="s">
        <v>284</v>
      </c>
      <c r="C325" s="185">
        <v>150399</v>
      </c>
      <c r="D325" s="204"/>
      <c r="E325" s="208"/>
      <c r="F325" s="208"/>
      <c r="G325" s="208"/>
      <c r="H325" s="202"/>
      <c r="I325" s="202"/>
      <c r="J325" s="202"/>
      <c r="K325" s="207"/>
      <c r="L325" s="207"/>
      <c r="M325" s="180"/>
      <c r="N325" s="192">
        <f>C325+C331</f>
        <v>662764</v>
      </c>
      <c r="O325" s="192">
        <f>C329+C330</f>
        <v>1800175</v>
      </c>
      <c r="P325" s="192">
        <f>C326+C328</f>
        <v>182500</v>
      </c>
      <c r="Q325" s="192">
        <f>N325+O325+P325</f>
        <v>2645439</v>
      </c>
    </row>
    <row r="326" spans="1:17" ht="13.9" hidden="1" customHeight="1" x14ac:dyDescent="0.25">
      <c r="B326" s="89" t="s">
        <v>225</v>
      </c>
      <c r="C326" s="185">
        <v>179700</v>
      </c>
      <c r="D326" s="204"/>
      <c r="E326" s="208"/>
      <c r="F326" s="208"/>
      <c r="G326" s="208"/>
      <c r="H326" s="202"/>
      <c r="I326" s="202"/>
      <c r="J326" s="202"/>
      <c r="K326" s="207"/>
      <c r="L326" s="207"/>
      <c r="M326" s="180"/>
      <c r="N326" s="192">
        <f>N325/M324</f>
        <v>803.35030303030305</v>
      </c>
      <c r="O326" s="192">
        <f>O325/M324</f>
        <v>2182.030303030303</v>
      </c>
      <c r="P326" s="192">
        <f>P325/M324</f>
        <v>221.21212121212122</v>
      </c>
    </row>
    <row r="327" spans="1:17" ht="13.9" hidden="1" customHeight="1" x14ac:dyDescent="0.25">
      <c r="B327" s="89" t="s">
        <v>225</v>
      </c>
      <c r="C327" s="185">
        <v>0</v>
      </c>
      <c r="D327" s="204"/>
      <c r="E327" s="208"/>
      <c r="F327" s="208"/>
      <c r="G327" s="208"/>
      <c r="H327" s="202"/>
      <c r="I327" s="202"/>
      <c r="J327" s="202"/>
      <c r="K327" s="207"/>
      <c r="L327" s="207"/>
      <c r="M327" s="180"/>
    </row>
    <row r="328" spans="1:17" ht="13.9" hidden="1" customHeight="1" x14ac:dyDescent="0.25">
      <c r="B328" s="89" t="s">
        <v>283</v>
      </c>
      <c r="C328" s="185">
        <v>2800</v>
      </c>
      <c r="D328" s="204"/>
      <c r="E328" s="208"/>
      <c r="F328" s="208"/>
      <c r="G328" s="208"/>
      <c r="H328" s="202"/>
      <c r="I328" s="202"/>
      <c r="J328" s="202"/>
      <c r="K328" s="207"/>
      <c r="L328" s="207"/>
      <c r="M328" s="180"/>
      <c r="N328" s="192">
        <f>C325+880187</f>
        <v>1030586</v>
      </c>
      <c r="O328" s="192">
        <f>C330+3874752</f>
        <v>4383343</v>
      </c>
      <c r="P328" s="192">
        <f>C326</f>
        <v>179700</v>
      </c>
    </row>
    <row r="329" spans="1:17" ht="13.9" hidden="1" customHeight="1" x14ac:dyDescent="0.25">
      <c r="B329" s="89" t="s">
        <v>291</v>
      </c>
      <c r="C329" s="185">
        <v>1291584</v>
      </c>
      <c r="D329" s="202"/>
      <c r="E329" s="208"/>
      <c r="F329" s="208"/>
      <c r="G329" s="208"/>
      <c r="H329" s="202"/>
      <c r="I329" s="202"/>
      <c r="J329" s="202"/>
      <c r="K329" s="207"/>
      <c r="L329" s="207"/>
      <c r="M329" s="180"/>
      <c r="N329" s="192">
        <f>N328-N325</f>
        <v>367822</v>
      </c>
      <c r="O329" s="192">
        <f>O328-O325</f>
        <v>2583168</v>
      </c>
      <c r="P329" s="192">
        <f>P328-P325</f>
        <v>-2800</v>
      </c>
    </row>
    <row r="330" spans="1:17" ht="13.9" hidden="1" customHeight="1" x14ac:dyDescent="0.25">
      <c r="B330" s="89" t="s">
        <v>257</v>
      </c>
      <c r="C330" s="185">
        <v>508591</v>
      </c>
      <c r="D330" s="202"/>
      <c r="E330" s="208"/>
      <c r="F330" s="208"/>
      <c r="G330" s="208"/>
      <c r="H330" s="202"/>
      <c r="I330" s="202"/>
      <c r="J330" s="202"/>
      <c r="K330" s="207"/>
      <c r="L330" s="207"/>
      <c r="M330" s="180"/>
      <c r="N330" s="192">
        <f>N329/M324</f>
        <v>445.84484848484851</v>
      </c>
      <c r="O330" s="192">
        <f>O329/M324</f>
        <v>3131.1127272727272</v>
      </c>
      <c r="P330" s="192">
        <f>P329/M324</f>
        <v>-3.393939393939394</v>
      </c>
    </row>
    <row r="331" spans="1:17" ht="13.9" hidden="1" customHeight="1" x14ac:dyDescent="0.25">
      <c r="B331" s="89" t="s">
        <v>292</v>
      </c>
      <c r="C331" s="185">
        <v>512365</v>
      </c>
      <c r="D331" s="202"/>
      <c r="E331" s="208"/>
      <c r="F331" s="208"/>
      <c r="G331" s="208"/>
      <c r="H331" s="202"/>
      <c r="I331" s="202"/>
      <c r="J331" s="202"/>
      <c r="K331" s="207"/>
      <c r="L331" s="207"/>
      <c r="M331" s="180"/>
      <c r="N331" s="192">
        <f>D324*N330</f>
        <v>140886.97212121214</v>
      </c>
      <c r="O331" s="192">
        <f>D324*O330</f>
        <v>989431.62181818183</v>
      </c>
      <c r="P331" s="192">
        <f>D324*P330</f>
        <v>-1072.4848484848485</v>
      </c>
      <c r="Q331" s="192">
        <f>N331+O331+P331</f>
        <v>1129246.1090909091</v>
      </c>
    </row>
    <row r="332" spans="1:17" ht="13.9" hidden="1" customHeight="1" x14ac:dyDescent="0.25">
      <c r="B332" s="101" t="s">
        <v>112</v>
      </c>
      <c r="C332" s="203">
        <f>SUM(C325:C331)</f>
        <v>2645439</v>
      </c>
      <c r="D332" s="202"/>
      <c r="E332" s="208"/>
      <c r="F332" s="208"/>
      <c r="G332" s="208"/>
      <c r="H332" s="202"/>
      <c r="I332" s="202"/>
      <c r="J332" s="202"/>
      <c r="K332" s="207"/>
      <c r="L332" s="207"/>
      <c r="M332" s="180"/>
      <c r="N332" s="192">
        <f>G324*N330</f>
        <v>891.68969696969702</v>
      </c>
      <c r="O332" s="192">
        <f>G324*O330</f>
        <v>6262.2254545454543</v>
      </c>
      <c r="P332" s="192">
        <f>G324*P330</f>
        <v>-6.7878787878787881</v>
      </c>
      <c r="Q332" s="192">
        <f t="shared" ref="Q332:Q337" si="57">N332+O332+P332</f>
        <v>7147.1272727272726</v>
      </c>
    </row>
    <row r="333" spans="1:17" ht="13.9" hidden="1" customHeight="1" x14ac:dyDescent="0.25">
      <c r="N333" s="192">
        <f>H324*N330</f>
        <v>87385.590303030302</v>
      </c>
      <c r="O333" s="192">
        <f>H324*O330</f>
        <v>613698.09454545449</v>
      </c>
      <c r="P333" s="192">
        <f>H324*P330</f>
        <v>-665.21212121212125</v>
      </c>
      <c r="Q333" s="192">
        <f t="shared" si="57"/>
        <v>700418.47272727266</v>
      </c>
    </row>
    <row r="334" spans="1:17" ht="13.9" hidden="1" customHeight="1" x14ac:dyDescent="0.25">
      <c r="N334" s="192">
        <f>I324*N330</f>
        <v>91844.038787878788</v>
      </c>
      <c r="O334" s="192">
        <f>I324*O330</f>
        <v>645009.2218181818</v>
      </c>
      <c r="P334" s="192">
        <f>I324*P330</f>
        <v>-699.15151515151513</v>
      </c>
      <c r="Q334" s="192">
        <f t="shared" si="57"/>
        <v>736154.10909090913</v>
      </c>
    </row>
    <row r="335" spans="1:17" ht="13.9" hidden="1" customHeight="1" x14ac:dyDescent="0.25">
      <c r="N335" s="192">
        <f>J324*N330</f>
        <v>445.84484848484851</v>
      </c>
      <c r="O335" s="192">
        <f>J324*O330</f>
        <v>3131.1127272727272</v>
      </c>
      <c r="P335" s="192">
        <f>J324*P330</f>
        <v>-3.393939393939394</v>
      </c>
      <c r="Q335" s="192">
        <f t="shared" si="57"/>
        <v>3573.5636363636363</v>
      </c>
    </row>
    <row r="336" spans="1:17" ht="13.9" hidden="1" customHeight="1" x14ac:dyDescent="0.25">
      <c r="N336" s="192">
        <f>K324*N330</f>
        <v>22738.087272727273</v>
      </c>
      <c r="O336" s="192">
        <f>K324*O330</f>
        <v>159686.74909090908</v>
      </c>
      <c r="P336" s="192">
        <f>K324*P330</f>
        <v>-173.09090909090909</v>
      </c>
      <c r="Q336" s="192">
        <f t="shared" si="57"/>
        <v>182251.74545454545</v>
      </c>
    </row>
    <row r="337" spans="1:17" ht="13.9" hidden="1" customHeight="1" x14ac:dyDescent="0.25">
      <c r="N337" s="192">
        <f>L324*N330</f>
        <v>23629.77696969697</v>
      </c>
      <c r="O337" s="192">
        <f>L324*O330</f>
        <v>165948.97454545455</v>
      </c>
      <c r="P337" s="192">
        <f>L324*P330</f>
        <v>-179.87878787878788</v>
      </c>
      <c r="Q337" s="192">
        <f t="shared" si="57"/>
        <v>189398.87272727274</v>
      </c>
    </row>
    <row r="338" spans="1:17" ht="13.9" hidden="1" customHeight="1" x14ac:dyDescent="0.25">
      <c r="M338" s="182" t="s">
        <v>297</v>
      </c>
      <c r="N338" s="182" t="s">
        <v>298</v>
      </c>
      <c r="O338" s="182" t="s">
        <v>299</v>
      </c>
    </row>
    <row r="339" spans="1:17" ht="13.9" hidden="1" customHeight="1" x14ac:dyDescent="0.25">
      <c r="D339" s="180">
        <v>67</v>
      </c>
      <c r="E339" s="207"/>
      <c r="F339" s="207"/>
      <c r="G339" s="207">
        <v>17</v>
      </c>
      <c r="H339" s="180">
        <v>1</v>
      </c>
      <c r="I339" s="180">
        <v>72</v>
      </c>
      <c r="J339" s="180">
        <v>44</v>
      </c>
      <c r="K339" s="207">
        <v>17</v>
      </c>
      <c r="L339" s="207">
        <f>D339+G339+H339+I339+J339+K339</f>
        <v>218</v>
      </c>
    </row>
    <row r="340" spans="1:17" ht="27.6" hidden="1" customHeight="1" x14ac:dyDescent="0.25">
      <c r="A340" s="182" t="s">
        <v>304</v>
      </c>
      <c r="B340" s="196" t="s">
        <v>284</v>
      </c>
      <c r="C340" s="203">
        <v>39742</v>
      </c>
      <c r="D340" s="204"/>
      <c r="E340" s="208"/>
      <c r="F340" s="208"/>
      <c r="G340" s="208"/>
      <c r="H340" s="202"/>
      <c r="I340" s="202"/>
      <c r="J340" s="202"/>
      <c r="K340" s="208"/>
      <c r="L340" s="208"/>
      <c r="M340" s="192">
        <f>C340+C342+C346</f>
        <v>195953</v>
      </c>
      <c r="N340" s="192">
        <f>C344+C345</f>
        <v>542463</v>
      </c>
      <c r="O340" s="192">
        <f>C341+C343</f>
        <v>2064267</v>
      </c>
      <c r="P340" s="192">
        <f>M340+N340+O340</f>
        <v>2802683</v>
      </c>
    </row>
    <row r="341" spans="1:17" ht="13.9" hidden="1" customHeight="1" x14ac:dyDescent="0.25">
      <c r="B341" s="89" t="s">
        <v>225</v>
      </c>
      <c r="C341" s="203">
        <v>1880332</v>
      </c>
      <c r="D341" s="204"/>
      <c r="E341" s="208"/>
      <c r="F341" s="208"/>
      <c r="G341" s="208"/>
      <c r="H341" s="202"/>
      <c r="I341" s="202"/>
      <c r="J341" s="202"/>
      <c r="K341" s="208"/>
      <c r="L341" s="207"/>
      <c r="M341" s="192">
        <f>M340/L339</f>
        <v>898.86697247706422</v>
      </c>
      <c r="N341" s="192">
        <f>N340/L339</f>
        <v>2488.3623853211011</v>
      </c>
      <c r="O341" s="192">
        <f>O340/L339</f>
        <v>9469.1146788990827</v>
      </c>
    </row>
    <row r="342" spans="1:17" ht="13.9" hidden="1" customHeight="1" x14ac:dyDescent="0.25">
      <c r="B342" s="89" t="s">
        <v>225</v>
      </c>
      <c r="C342" s="203">
        <v>21109</v>
      </c>
      <c r="D342" s="204"/>
      <c r="E342" s="208"/>
      <c r="F342" s="208"/>
      <c r="G342" s="208"/>
      <c r="H342" s="202"/>
      <c r="I342" s="202"/>
      <c r="J342" s="202"/>
      <c r="K342" s="208"/>
      <c r="L342" s="207"/>
    </row>
    <row r="343" spans="1:17" ht="13.9" hidden="1" customHeight="1" x14ac:dyDescent="0.25">
      <c r="B343" s="89" t="s">
        <v>283</v>
      </c>
      <c r="C343" s="203">
        <v>183935</v>
      </c>
      <c r="D343" s="204"/>
      <c r="E343" s="208"/>
      <c r="F343" s="208"/>
      <c r="G343" s="208"/>
      <c r="H343" s="202"/>
      <c r="I343" s="202"/>
      <c r="J343" s="202"/>
      <c r="K343" s="208"/>
      <c r="L343" s="207"/>
      <c r="M343" s="192">
        <f>C340+232583</f>
        <v>272325</v>
      </c>
      <c r="N343" s="192">
        <f>C345+1499904</f>
        <v>1542399</v>
      </c>
      <c r="O343" s="192">
        <f>C341</f>
        <v>1880332</v>
      </c>
    </row>
    <row r="344" spans="1:17" ht="13.9" hidden="1" customHeight="1" x14ac:dyDescent="0.25">
      <c r="B344" s="89" t="s">
        <v>291</v>
      </c>
      <c r="C344" s="203">
        <v>499968</v>
      </c>
      <c r="D344" s="202"/>
      <c r="E344" s="208"/>
      <c r="F344" s="208"/>
      <c r="G344" s="208"/>
      <c r="H344" s="202"/>
      <c r="I344" s="202"/>
      <c r="J344" s="202"/>
      <c r="K344" s="208"/>
      <c r="L344" s="207"/>
      <c r="M344" s="192">
        <f>M343-M340</f>
        <v>76372</v>
      </c>
      <c r="N344" s="192">
        <f>N343-N340</f>
        <v>999936</v>
      </c>
      <c r="O344" s="192">
        <f>O343-O340</f>
        <v>-183935</v>
      </c>
    </row>
    <row r="345" spans="1:17" ht="13.9" hidden="1" customHeight="1" x14ac:dyDescent="0.25">
      <c r="B345" s="89" t="s">
        <v>257</v>
      </c>
      <c r="C345" s="203">
        <v>42495</v>
      </c>
      <c r="D345" s="202"/>
      <c r="E345" s="208"/>
      <c r="F345" s="208"/>
      <c r="G345" s="208"/>
      <c r="H345" s="202"/>
      <c r="I345" s="202"/>
      <c r="J345" s="202"/>
      <c r="K345" s="208"/>
      <c r="L345" s="207"/>
      <c r="M345" s="192">
        <f>M344/L339</f>
        <v>350.33027522935782</v>
      </c>
      <c r="N345" s="192">
        <f>N344/L339</f>
        <v>4586.8623853211011</v>
      </c>
      <c r="O345" s="192">
        <f>O344/L339</f>
        <v>-843.7385321100918</v>
      </c>
    </row>
    <row r="346" spans="1:17" ht="13.9" hidden="1" customHeight="1" x14ac:dyDescent="0.25">
      <c r="B346" s="89" t="s">
        <v>292</v>
      </c>
      <c r="C346" s="203">
        <v>135102</v>
      </c>
      <c r="D346" s="202"/>
      <c r="E346" s="208"/>
      <c r="F346" s="208"/>
      <c r="G346" s="208"/>
      <c r="H346" s="202"/>
      <c r="I346" s="202"/>
      <c r="J346" s="202"/>
      <c r="K346" s="208"/>
      <c r="L346" s="207"/>
      <c r="M346" s="192">
        <f>D339*M345</f>
        <v>23472.128440366974</v>
      </c>
      <c r="N346" s="192">
        <f>D339*N345</f>
        <v>307319.77981651376</v>
      </c>
      <c r="O346" s="192">
        <f>D339*O345</f>
        <v>-56530.481651376147</v>
      </c>
      <c r="P346" s="192">
        <f t="shared" ref="P346:P351" si="58">M346+N346+O346</f>
        <v>274261.42660550459</v>
      </c>
    </row>
    <row r="347" spans="1:17" ht="13.9" hidden="1" customHeight="1" x14ac:dyDescent="0.25">
      <c r="B347" s="101" t="s">
        <v>112</v>
      </c>
      <c r="C347" s="203">
        <f>SUM(C340:C346)</f>
        <v>2802683</v>
      </c>
      <c r="D347" s="202"/>
      <c r="E347" s="208"/>
      <c r="F347" s="208"/>
      <c r="G347" s="208"/>
      <c r="H347" s="202"/>
      <c r="I347" s="202"/>
      <c r="J347" s="202"/>
      <c r="K347" s="208"/>
      <c r="L347" s="207"/>
      <c r="M347" s="192">
        <f>G339*M345</f>
        <v>5955.6146788990827</v>
      </c>
      <c r="N347" s="192">
        <f>G339*N345</f>
        <v>77976.660550458721</v>
      </c>
      <c r="O347" s="192">
        <f>G339*O345</f>
        <v>-14343.555045871561</v>
      </c>
      <c r="P347" s="192">
        <f t="shared" si="58"/>
        <v>69588.72018348625</v>
      </c>
    </row>
    <row r="348" spans="1:17" ht="13.9" hidden="1" customHeight="1" x14ac:dyDescent="0.25">
      <c r="M348" s="192">
        <f>H339*M345</f>
        <v>350.33027522935782</v>
      </c>
      <c r="N348" s="192">
        <f>H339*N345</f>
        <v>4586.8623853211011</v>
      </c>
      <c r="O348" s="192">
        <f>H339*O345</f>
        <v>-843.7385321100918</v>
      </c>
      <c r="P348" s="192">
        <f t="shared" si="58"/>
        <v>4093.4541284403667</v>
      </c>
    </row>
    <row r="349" spans="1:17" ht="13.9" hidden="1" customHeight="1" x14ac:dyDescent="0.25">
      <c r="M349" s="192">
        <f>I339*M345</f>
        <v>25223.779816513765</v>
      </c>
      <c r="N349" s="192">
        <f>I339*N345</f>
        <v>330254.09174311929</v>
      </c>
      <c r="O349" s="192">
        <f>I339*O345</f>
        <v>-60749.17431192661</v>
      </c>
      <c r="P349" s="192">
        <f t="shared" si="58"/>
        <v>294728.69724770647</v>
      </c>
    </row>
    <row r="350" spans="1:17" ht="13.9" hidden="1" customHeight="1" x14ac:dyDescent="0.25">
      <c r="M350" s="192">
        <f>J339*M345</f>
        <v>15414.532110091744</v>
      </c>
      <c r="N350" s="192">
        <f>J339*N345</f>
        <v>201821.94495412844</v>
      </c>
      <c r="O350" s="192">
        <f>J339*O345</f>
        <v>-37124.495412844037</v>
      </c>
      <c r="P350" s="192">
        <f t="shared" si="58"/>
        <v>180111.98165137615</v>
      </c>
    </row>
    <row r="351" spans="1:17" ht="13.9" hidden="1" customHeight="1" x14ac:dyDescent="0.25">
      <c r="M351" s="192">
        <f>K339*M345</f>
        <v>5955.6146788990827</v>
      </c>
      <c r="N351" s="192">
        <f>K339*N345</f>
        <v>77976.660550458721</v>
      </c>
      <c r="O351" s="192">
        <f>K339*O345</f>
        <v>-14343.555045871561</v>
      </c>
      <c r="P351" s="192">
        <f t="shared" si="58"/>
        <v>69588.72018348625</v>
      </c>
    </row>
    <row r="352" spans="1:17" ht="13.9" hidden="1" customHeight="1" x14ac:dyDescent="0.25"/>
    <row r="353" ht="13.9" hidden="1" customHeight="1" x14ac:dyDescent="0.25"/>
    <row r="354" ht="13.9" hidden="1" customHeight="1" x14ac:dyDescent="0.25"/>
    <row r="355" ht="13.9" hidden="1" customHeight="1" x14ac:dyDescent="0.25"/>
    <row r="356" ht="13.9" hidden="1" customHeight="1" x14ac:dyDescent="0.25"/>
    <row r="357" ht="13.9" hidden="1" customHeight="1" x14ac:dyDescent="0.25"/>
    <row r="358" ht="13.9" hidden="1" customHeight="1" x14ac:dyDescent="0.25"/>
    <row r="359" ht="13.9" hidden="1" customHeight="1" x14ac:dyDescent="0.25"/>
    <row r="360" ht="13.9" hidden="1" customHeight="1" x14ac:dyDescent="0.25"/>
    <row r="361" ht="13.9" hidden="1" customHeight="1" x14ac:dyDescent="0.25"/>
    <row r="362" ht="13.9" hidden="1" customHeight="1" x14ac:dyDescent="0.25"/>
    <row r="363" ht="13.9" hidden="1" customHeight="1" x14ac:dyDescent="0.25"/>
    <row r="364" ht="13.9" hidden="1" customHeight="1" x14ac:dyDescent="0.25"/>
    <row r="365" ht="13.9" hidden="1" customHeight="1" x14ac:dyDescent="0.25"/>
    <row r="366" ht="13.9" hidden="1" customHeight="1" x14ac:dyDescent="0.25"/>
    <row r="367" ht="13.9" hidden="1" customHeight="1" x14ac:dyDescent="0.25"/>
    <row r="368" ht="13.9" hidden="1" customHeight="1" x14ac:dyDescent="0.25"/>
    <row r="369" ht="13.9" hidden="1" customHeight="1" x14ac:dyDescent="0.25"/>
    <row r="370" ht="13.9" hidden="1" customHeight="1" x14ac:dyDescent="0.25"/>
    <row r="371" ht="13.9" hidden="1" customHeight="1" x14ac:dyDescent="0.25"/>
    <row r="372" ht="13.9" hidden="1" customHeight="1" x14ac:dyDescent="0.25"/>
    <row r="373" ht="13.9" hidden="1" customHeight="1" x14ac:dyDescent="0.25"/>
    <row r="374" ht="13.9" hidden="1" customHeight="1" x14ac:dyDescent="0.25"/>
    <row r="375" ht="13.9" hidden="1" customHeight="1" x14ac:dyDescent="0.25"/>
    <row r="376" ht="13.9" hidden="1" customHeight="1" x14ac:dyDescent="0.25"/>
    <row r="377" ht="13.9" hidden="1" customHeight="1" x14ac:dyDescent="0.25"/>
    <row r="378" ht="13.9" hidden="1" customHeight="1" x14ac:dyDescent="0.25"/>
    <row r="379" ht="13.9" hidden="1" customHeight="1" x14ac:dyDescent="0.25"/>
    <row r="380" ht="13.9" hidden="1" customHeight="1" x14ac:dyDescent="0.25"/>
    <row r="381" ht="13.9" hidden="1" customHeight="1" x14ac:dyDescent="0.25"/>
    <row r="382" ht="13.9" hidden="1" customHeight="1" x14ac:dyDescent="0.25"/>
    <row r="383" ht="13.9" hidden="1" customHeight="1" x14ac:dyDescent="0.25"/>
    <row r="384" ht="13.9" hidden="1" customHeight="1" x14ac:dyDescent="0.25"/>
    <row r="385" ht="13.9" hidden="1" customHeight="1" x14ac:dyDescent="0.25"/>
    <row r="386" ht="13.9" hidden="1" customHeight="1" x14ac:dyDescent="0.25"/>
    <row r="387" ht="13.9" hidden="1" customHeight="1" x14ac:dyDescent="0.25"/>
    <row r="388" ht="13.9" hidden="1" customHeight="1" x14ac:dyDescent="0.25"/>
    <row r="389" ht="13.9" hidden="1" customHeight="1" x14ac:dyDescent="0.25"/>
    <row r="390" ht="13.9" hidden="1" customHeight="1" x14ac:dyDescent="0.25"/>
    <row r="391" ht="13.9" hidden="1" customHeight="1" x14ac:dyDescent="0.25"/>
    <row r="392" ht="13.9" hidden="1" customHeight="1" x14ac:dyDescent="0.25"/>
    <row r="393" ht="13.9" hidden="1" customHeight="1" x14ac:dyDescent="0.25"/>
    <row r="394" ht="13.9" hidden="1" customHeight="1" x14ac:dyDescent="0.25"/>
    <row r="395" ht="13.9" hidden="1" customHeight="1" x14ac:dyDescent="0.25"/>
    <row r="396" ht="13.9" hidden="1" customHeight="1" x14ac:dyDescent="0.25"/>
    <row r="397" ht="13.9" hidden="1" customHeight="1" x14ac:dyDescent="0.25"/>
    <row r="398" ht="13.9" hidden="1" customHeight="1" x14ac:dyDescent="0.25"/>
    <row r="399" ht="13.9" hidden="1" customHeight="1" x14ac:dyDescent="0.25"/>
    <row r="400" ht="13.9" hidden="1" customHeight="1" x14ac:dyDescent="0.25"/>
    <row r="401" ht="13.9" hidden="1" customHeight="1" x14ac:dyDescent="0.25"/>
    <row r="402" ht="13.9" hidden="1" customHeight="1" x14ac:dyDescent="0.25"/>
    <row r="403" ht="13.9" hidden="1" customHeight="1" x14ac:dyDescent="0.25"/>
    <row r="404" ht="13.9" hidden="1" customHeight="1" x14ac:dyDescent="0.25"/>
    <row r="405" ht="13.9" hidden="1" customHeight="1" x14ac:dyDescent="0.25"/>
    <row r="406" ht="13.9" hidden="1" customHeight="1" x14ac:dyDescent="0.25"/>
    <row r="407" ht="13.9" hidden="1" customHeight="1" x14ac:dyDescent="0.25"/>
    <row r="408" ht="13.9" hidden="1" customHeight="1" x14ac:dyDescent="0.25"/>
    <row r="409" ht="13.9" hidden="1" customHeight="1" x14ac:dyDescent="0.25"/>
    <row r="410" ht="13.9" hidden="1" customHeight="1" x14ac:dyDescent="0.25"/>
    <row r="411" ht="13.9" hidden="1" customHeight="1" x14ac:dyDescent="0.25"/>
    <row r="412" ht="13.9" hidden="1" customHeight="1" x14ac:dyDescent="0.25"/>
    <row r="413" ht="13.9" hidden="1" customHeight="1" x14ac:dyDescent="0.25"/>
    <row r="414" ht="13.9" hidden="1" customHeight="1" x14ac:dyDescent="0.25"/>
    <row r="415" ht="13.9" hidden="1" customHeight="1" x14ac:dyDescent="0.25"/>
    <row r="416" ht="13.9" hidden="1" customHeight="1" x14ac:dyDescent="0.25"/>
    <row r="417" ht="13.9" hidden="1" customHeight="1" x14ac:dyDescent="0.25"/>
    <row r="418" ht="13.9" hidden="1" customHeight="1" x14ac:dyDescent="0.25"/>
    <row r="419" ht="13.9" hidden="1" customHeight="1" x14ac:dyDescent="0.25"/>
    <row r="420" ht="13.9" hidden="1" customHeight="1" x14ac:dyDescent="0.25"/>
    <row r="421" ht="13.9" hidden="1" customHeight="1" x14ac:dyDescent="0.25"/>
    <row r="422" ht="13.9" hidden="1" customHeight="1" x14ac:dyDescent="0.25"/>
    <row r="423" ht="13.9" hidden="1" customHeight="1" x14ac:dyDescent="0.25"/>
    <row r="424" ht="13.9" hidden="1" customHeight="1" x14ac:dyDescent="0.25"/>
    <row r="425" ht="13.9" hidden="1" customHeight="1" x14ac:dyDescent="0.25"/>
    <row r="426" ht="13.9" hidden="1" customHeight="1" x14ac:dyDescent="0.25"/>
    <row r="427" ht="13.9" hidden="1" customHeight="1" x14ac:dyDescent="0.25"/>
    <row r="428" ht="13.9" hidden="1" customHeight="1" x14ac:dyDescent="0.25"/>
    <row r="429" ht="13.9" hidden="1" customHeight="1" x14ac:dyDescent="0.25"/>
    <row r="430" ht="13.9" hidden="1" customHeight="1" x14ac:dyDescent="0.25"/>
    <row r="431" ht="13.9" hidden="1" customHeight="1" x14ac:dyDescent="0.25"/>
    <row r="432" ht="13.9" hidden="1" customHeight="1" x14ac:dyDescent="0.25"/>
    <row r="433" ht="13.9" hidden="1" customHeight="1" x14ac:dyDescent="0.25"/>
    <row r="434" ht="13.9" hidden="1" customHeight="1" x14ac:dyDescent="0.25"/>
    <row r="435" ht="13.9" hidden="1" customHeight="1" x14ac:dyDescent="0.25"/>
    <row r="436" ht="13.9" hidden="1" customHeight="1" x14ac:dyDescent="0.25"/>
    <row r="437" ht="13.9" hidden="1" customHeight="1" x14ac:dyDescent="0.25"/>
    <row r="438" ht="13.9" hidden="1" customHeight="1" x14ac:dyDescent="0.25"/>
    <row r="439" ht="13.9" hidden="1" customHeight="1" x14ac:dyDescent="0.25"/>
    <row r="440" ht="13.9" hidden="1" customHeight="1" x14ac:dyDescent="0.25"/>
    <row r="441" ht="13.9" hidden="1" customHeight="1" x14ac:dyDescent="0.25"/>
    <row r="442" ht="13.9" hidden="1" customHeight="1" x14ac:dyDescent="0.25"/>
    <row r="443" ht="13.9" hidden="1" customHeight="1" x14ac:dyDescent="0.25"/>
    <row r="444" ht="13.9" hidden="1" customHeight="1" x14ac:dyDescent="0.25"/>
    <row r="445" ht="13.9" hidden="1" customHeight="1" x14ac:dyDescent="0.25"/>
    <row r="446" ht="13.9" hidden="1" customHeight="1" x14ac:dyDescent="0.25"/>
    <row r="447" ht="13.9" hidden="1" customHeight="1" x14ac:dyDescent="0.25"/>
    <row r="448" ht="13.9" hidden="1" customHeight="1" x14ac:dyDescent="0.25"/>
    <row r="449" ht="13.9" hidden="1" customHeight="1" x14ac:dyDescent="0.25"/>
    <row r="450" ht="13.9" hidden="1" customHeight="1" x14ac:dyDescent="0.25"/>
    <row r="451" ht="13.9" hidden="1" customHeight="1" x14ac:dyDescent="0.25"/>
    <row r="452" ht="13.9" hidden="1" customHeight="1" x14ac:dyDescent="0.25"/>
    <row r="453" ht="13.9" hidden="1" customHeight="1" x14ac:dyDescent="0.25"/>
    <row r="454" ht="13.9" hidden="1" customHeight="1" x14ac:dyDescent="0.25"/>
    <row r="455" ht="13.9" hidden="1" customHeight="1" x14ac:dyDescent="0.25"/>
    <row r="456" ht="13.9" hidden="1" customHeight="1" x14ac:dyDescent="0.25"/>
    <row r="457" ht="13.9" hidden="1" customHeight="1" x14ac:dyDescent="0.25"/>
    <row r="458" ht="13.9" hidden="1" customHeight="1" x14ac:dyDescent="0.25"/>
    <row r="459" ht="13.9" hidden="1" customHeight="1" x14ac:dyDescent="0.25"/>
    <row r="460" ht="13.9" hidden="1" customHeight="1" x14ac:dyDescent="0.25"/>
    <row r="461" ht="13.9" hidden="1" customHeight="1" x14ac:dyDescent="0.25"/>
    <row r="462" ht="13.9" hidden="1" customHeight="1" x14ac:dyDescent="0.25"/>
    <row r="463" ht="13.9" hidden="1" customHeight="1" x14ac:dyDescent="0.25"/>
    <row r="464" ht="13.9" hidden="1" customHeight="1" x14ac:dyDescent="0.25"/>
    <row r="465" ht="13.9" hidden="1" customHeight="1" x14ac:dyDescent="0.25"/>
    <row r="466" ht="13.9" hidden="1" customHeight="1" x14ac:dyDescent="0.25"/>
    <row r="467" ht="13.9" hidden="1" customHeight="1" x14ac:dyDescent="0.25"/>
    <row r="468" ht="13.9" hidden="1" customHeight="1" x14ac:dyDescent="0.25"/>
    <row r="469" ht="13.9" hidden="1" customHeight="1" x14ac:dyDescent="0.25"/>
    <row r="470" ht="13.9" hidden="1" customHeight="1" x14ac:dyDescent="0.25"/>
    <row r="471" ht="13.9" hidden="1" customHeight="1" x14ac:dyDescent="0.25"/>
    <row r="472" ht="13.9" hidden="1" customHeight="1" x14ac:dyDescent="0.25"/>
    <row r="473" ht="13.9" hidden="1" customHeight="1" x14ac:dyDescent="0.25"/>
    <row r="474" ht="13.9" hidden="1" customHeight="1" x14ac:dyDescent="0.25"/>
    <row r="475" ht="13.9" hidden="1" customHeight="1" x14ac:dyDescent="0.25"/>
    <row r="476" ht="13.9" hidden="1" customHeight="1" x14ac:dyDescent="0.25"/>
    <row r="477" ht="13.9" hidden="1" customHeight="1" x14ac:dyDescent="0.25"/>
    <row r="478" ht="13.9" hidden="1" customHeight="1" x14ac:dyDescent="0.25"/>
    <row r="479" ht="13.9" hidden="1" customHeight="1" x14ac:dyDescent="0.25"/>
    <row r="480" ht="13.9" hidden="1" customHeight="1" x14ac:dyDescent="0.25"/>
    <row r="481" ht="13.9" hidden="1" customHeight="1" x14ac:dyDescent="0.25"/>
    <row r="482" ht="13.9" hidden="1" customHeight="1" x14ac:dyDescent="0.25"/>
    <row r="483" ht="13.9" hidden="1" customHeight="1" x14ac:dyDescent="0.25"/>
    <row r="484" ht="13.9" hidden="1" customHeight="1" x14ac:dyDescent="0.25"/>
    <row r="485" ht="13.9" hidden="1" customHeight="1" x14ac:dyDescent="0.25"/>
    <row r="486" ht="13.9" hidden="1" customHeight="1" x14ac:dyDescent="0.25"/>
    <row r="487" ht="13.9" hidden="1" customHeight="1" x14ac:dyDescent="0.25"/>
    <row r="488" ht="13.9" hidden="1" customHeight="1" x14ac:dyDescent="0.25"/>
    <row r="489" ht="13.9" hidden="1" customHeight="1" x14ac:dyDescent="0.25"/>
    <row r="490" ht="13.9" hidden="1" customHeight="1" x14ac:dyDescent="0.25"/>
    <row r="491" ht="13.9" hidden="1" customHeight="1" x14ac:dyDescent="0.25"/>
    <row r="492" ht="13.9" hidden="1" customHeight="1" x14ac:dyDescent="0.25"/>
    <row r="493" ht="13.9" hidden="1" customHeight="1" x14ac:dyDescent="0.25"/>
    <row r="494" ht="13.9" hidden="1" customHeight="1" x14ac:dyDescent="0.25"/>
    <row r="495" ht="13.9" hidden="1" customHeight="1" x14ac:dyDescent="0.25"/>
    <row r="496" ht="13.9" hidden="1" customHeight="1" x14ac:dyDescent="0.25"/>
    <row r="497" ht="13.9" hidden="1" customHeight="1" x14ac:dyDescent="0.25"/>
    <row r="498" ht="13.9" hidden="1" customHeight="1" x14ac:dyDescent="0.25"/>
    <row r="499" ht="13.9" hidden="1" customHeight="1" x14ac:dyDescent="0.25"/>
    <row r="500" ht="13.9" hidden="1" customHeight="1" x14ac:dyDescent="0.25"/>
    <row r="501" ht="13.9" hidden="1" customHeight="1" x14ac:dyDescent="0.25"/>
    <row r="502" ht="13.9" hidden="1" customHeight="1" x14ac:dyDescent="0.25"/>
    <row r="503" ht="13.9" hidden="1" customHeight="1" x14ac:dyDescent="0.25"/>
    <row r="504" ht="13.9" hidden="1" customHeight="1" x14ac:dyDescent="0.25"/>
    <row r="505" ht="13.9" hidden="1" customHeight="1" x14ac:dyDescent="0.25"/>
  </sheetData>
  <mergeCells count="32"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  <mergeCell ref="A12:A46"/>
    <mergeCell ref="B12:B23"/>
    <mergeCell ref="B24:B29"/>
    <mergeCell ref="A47:A80"/>
    <mergeCell ref="B47:B56"/>
    <mergeCell ref="B57:B64"/>
    <mergeCell ref="B66:B69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63"/>
  <sheetViews>
    <sheetView zoomScale="70" zoomScaleNormal="70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40625" defaultRowHeight="15" x14ac:dyDescent="0.25"/>
  <cols>
    <col min="1" max="1" width="30.7109375" style="235" customWidth="1"/>
    <col min="2" max="2" width="21.5703125" style="235" customWidth="1"/>
    <col min="3" max="3" width="23.7109375" style="235" customWidth="1"/>
    <col min="4" max="4" width="9.42578125" style="236" customWidth="1"/>
    <col min="5" max="5" width="0.140625" style="236" hidden="1" customWidth="1"/>
    <col min="6" max="6" width="12.85546875" style="236" hidden="1" customWidth="1"/>
    <col min="7" max="7" width="12.28515625" style="236" customWidth="1"/>
    <col min="8" max="8" width="12.7109375" style="236" customWidth="1"/>
    <col min="9" max="9" width="12.28515625" style="236" customWidth="1"/>
    <col min="10" max="10" width="13" style="236" customWidth="1"/>
    <col min="11" max="11" width="13.140625" style="236" customWidth="1"/>
    <col min="12" max="12" width="13.85546875" style="235" customWidth="1"/>
    <col min="13" max="13" width="13.28515625" style="236" customWidth="1"/>
    <col min="14" max="14" width="15.140625" style="236" customWidth="1"/>
    <col min="15" max="15" width="16" style="236" customWidth="1"/>
    <col min="16" max="16" width="5.7109375" style="236" hidden="1" customWidth="1"/>
    <col min="17" max="17" width="15.140625" style="235" customWidth="1"/>
    <col min="18" max="18" width="0.42578125" style="235" hidden="1" customWidth="1"/>
    <col min="19" max="19" width="14.28515625" style="235" customWidth="1"/>
    <col min="20" max="20" width="16.5703125" style="236" customWidth="1"/>
    <col min="21" max="21" width="14.42578125" style="236" customWidth="1"/>
    <col min="22" max="22" width="15.28515625" style="236" customWidth="1"/>
    <col min="23" max="23" width="15.28515625" style="235" hidden="1" customWidth="1"/>
    <col min="24" max="24" width="17.5703125" style="235" hidden="1" customWidth="1"/>
    <col min="25" max="25" width="18.7109375" style="235" hidden="1" customWidth="1"/>
    <col min="26" max="26" width="9.140625" style="235" hidden="1" customWidth="1"/>
    <col min="27" max="27" width="16.5703125" style="235" hidden="1" customWidth="1"/>
    <col min="28" max="28" width="17.140625" style="235" hidden="1" customWidth="1"/>
    <col min="29" max="29" width="15.7109375" style="235" hidden="1" customWidth="1"/>
    <col min="30" max="33" width="9.140625" style="235" customWidth="1"/>
    <col min="34" max="34" width="14.85546875" style="235" customWidth="1"/>
    <col min="35" max="16384" width="9.140625" style="235"/>
  </cols>
  <sheetData>
    <row r="1" spans="1:29" hidden="1" x14ac:dyDescent="0.25">
      <c r="T1" s="237" t="s">
        <v>203</v>
      </c>
    </row>
    <row r="2" spans="1:29" hidden="1" x14ac:dyDescent="0.25">
      <c r="T2" s="237" t="s">
        <v>204</v>
      </c>
    </row>
    <row r="3" spans="1:29" x14ac:dyDescent="0.25">
      <c r="D3" s="235"/>
      <c r="E3" s="235"/>
      <c r="F3" s="235"/>
      <c r="G3" s="235"/>
      <c r="H3" s="235"/>
      <c r="I3" s="235"/>
      <c r="J3" s="235"/>
      <c r="K3" s="235"/>
      <c r="M3" s="235"/>
      <c r="N3" s="235"/>
      <c r="O3" s="235"/>
      <c r="P3" s="235"/>
      <c r="T3" s="294" t="s">
        <v>175</v>
      </c>
      <c r="U3" s="235"/>
      <c r="V3" s="235"/>
    </row>
    <row r="4" spans="1:29" hidden="1" x14ac:dyDescent="0.25">
      <c r="D4" s="235"/>
      <c r="E4" s="235"/>
      <c r="F4" s="235"/>
      <c r="G4" s="235"/>
      <c r="H4" s="235"/>
      <c r="I4" s="235"/>
      <c r="J4" s="235"/>
      <c r="K4" s="235"/>
      <c r="M4" s="235"/>
      <c r="N4" s="235"/>
      <c r="O4" s="235"/>
      <c r="P4" s="235"/>
      <c r="T4" s="294" t="s">
        <v>333</v>
      </c>
      <c r="U4" s="235"/>
      <c r="V4" s="235"/>
    </row>
    <row r="5" spans="1:29" hidden="1" x14ac:dyDescent="0.25">
      <c r="D5" s="235"/>
      <c r="E5" s="235"/>
      <c r="F5" s="235"/>
      <c r="G5" s="235"/>
      <c r="H5" s="235"/>
      <c r="I5" s="235"/>
      <c r="J5" s="235"/>
      <c r="K5" s="235"/>
      <c r="M5" s="235"/>
      <c r="N5" s="235"/>
      <c r="O5" s="235"/>
      <c r="P5" s="235"/>
      <c r="T5" s="294" t="s">
        <v>175</v>
      </c>
      <c r="U5" s="235"/>
      <c r="V5" s="235"/>
    </row>
    <row r="6" spans="1:29" x14ac:dyDescent="0.25">
      <c r="D6" s="235"/>
      <c r="E6" s="235"/>
      <c r="F6" s="235"/>
      <c r="G6" s="235"/>
      <c r="H6" s="235"/>
      <c r="I6" s="235"/>
      <c r="J6" s="235"/>
      <c r="K6" s="235"/>
      <c r="M6" s="235"/>
      <c r="N6" s="235"/>
      <c r="O6" s="235"/>
      <c r="P6" s="235"/>
      <c r="T6" s="294" t="s">
        <v>359</v>
      </c>
      <c r="U6" s="235"/>
      <c r="V6" s="235"/>
    </row>
    <row r="7" spans="1:29" x14ac:dyDescent="0.25">
      <c r="A7" s="406" t="s">
        <v>334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</row>
    <row r="8" spans="1:29" ht="18.75" x14ac:dyDescent="0.25">
      <c r="A8" s="238" t="s">
        <v>155</v>
      </c>
      <c r="D8" s="235"/>
      <c r="E8" s="235"/>
      <c r="F8" s="235"/>
      <c r="G8" s="235"/>
      <c r="H8" s="235"/>
      <c r="I8" s="235"/>
      <c r="J8" s="235"/>
      <c r="K8" s="235"/>
      <c r="M8" s="235"/>
      <c r="N8" s="235"/>
      <c r="O8" s="235"/>
      <c r="P8" s="235"/>
      <c r="T8" s="235"/>
      <c r="U8" s="235"/>
      <c r="V8" s="235"/>
    </row>
    <row r="9" spans="1:29" x14ac:dyDescent="0.25">
      <c r="D9" s="235"/>
      <c r="E9" s="235"/>
      <c r="F9" s="235"/>
      <c r="G9" s="235"/>
      <c r="H9" s="235"/>
      <c r="I9" s="235"/>
      <c r="J9" s="235"/>
      <c r="K9" s="235"/>
      <c r="M9" s="235"/>
      <c r="N9" s="235"/>
      <c r="O9" s="235"/>
      <c r="P9" s="235"/>
      <c r="T9" s="235"/>
      <c r="U9" s="235"/>
      <c r="V9" s="235"/>
    </row>
    <row r="10" spans="1:29" ht="48" customHeight="1" x14ac:dyDescent="0.25">
      <c r="A10" s="251" t="s">
        <v>3</v>
      </c>
      <c r="B10" s="251" t="s">
        <v>81</v>
      </c>
      <c r="C10" s="251" t="s">
        <v>152</v>
      </c>
      <c r="D10" s="249" t="s">
        <v>4</v>
      </c>
      <c r="E10" s="407" t="s">
        <v>5</v>
      </c>
      <c r="F10" s="408"/>
      <c r="G10" s="408"/>
      <c r="H10" s="408"/>
      <c r="I10" s="409"/>
      <c r="J10" s="407" t="s">
        <v>6</v>
      </c>
      <c r="K10" s="410"/>
      <c r="L10" s="410"/>
      <c r="M10" s="411"/>
      <c r="N10" s="412" t="s">
        <v>7</v>
      </c>
      <c r="O10" s="412"/>
      <c r="P10" s="412"/>
      <c r="Q10" s="412"/>
      <c r="R10" s="412"/>
      <c r="S10" s="412"/>
      <c r="T10" s="412"/>
      <c r="U10" s="412"/>
      <c r="V10" s="412"/>
    </row>
    <row r="11" spans="1:29" ht="102.6" customHeight="1" x14ac:dyDescent="0.25">
      <c r="A11" s="242"/>
      <c r="B11" s="242"/>
      <c r="C11" s="242"/>
      <c r="D11" s="243"/>
      <c r="E11" s="240" t="s">
        <v>340</v>
      </c>
      <c r="F11" s="244" t="s">
        <v>341</v>
      </c>
      <c r="G11" s="244" t="s">
        <v>335</v>
      </c>
      <c r="H11" s="245" t="s">
        <v>260</v>
      </c>
      <c r="I11" s="245" t="s">
        <v>336</v>
      </c>
      <c r="J11" s="241" t="s">
        <v>79</v>
      </c>
      <c r="K11" s="241" t="s">
        <v>224</v>
      </c>
      <c r="L11" s="239" t="s">
        <v>11</v>
      </c>
      <c r="M11" s="245" t="s">
        <v>12</v>
      </c>
      <c r="N11" s="416" t="s">
        <v>205</v>
      </c>
      <c r="O11" s="416"/>
      <c r="P11" s="416"/>
      <c r="Q11" s="416"/>
      <c r="R11" s="416"/>
      <c r="S11" s="416"/>
      <c r="T11" s="416"/>
      <c r="U11" s="245" t="s">
        <v>260</v>
      </c>
      <c r="V11" s="245" t="s">
        <v>336</v>
      </c>
      <c r="AA11" s="235">
        <v>21722659.059999999</v>
      </c>
      <c r="AB11" s="247">
        <f>AA11+U21</f>
        <v>24540595.059999999</v>
      </c>
    </row>
    <row r="12" spans="1:29" ht="72.599999999999994" customHeight="1" x14ac:dyDescent="0.25">
      <c r="A12" s="239" t="s">
        <v>13</v>
      </c>
      <c r="B12" s="239" t="s">
        <v>14</v>
      </c>
      <c r="C12" s="248"/>
      <c r="D12" s="240" t="s">
        <v>15</v>
      </c>
      <c r="E12" s="240" t="s">
        <v>16</v>
      </c>
      <c r="F12" s="240" t="s">
        <v>16</v>
      </c>
      <c r="G12" s="240" t="s">
        <v>16</v>
      </c>
      <c r="H12" s="240" t="s">
        <v>16</v>
      </c>
      <c r="I12" s="240" t="s">
        <v>16</v>
      </c>
      <c r="J12" s="241" t="s">
        <v>17</v>
      </c>
      <c r="K12" s="241" t="s">
        <v>17</v>
      </c>
      <c r="L12" s="239" t="s">
        <v>17</v>
      </c>
      <c r="M12" s="240" t="s">
        <v>17</v>
      </c>
      <c r="N12" s="241" t="s">
        <v>85</v>
      </c>
      <c r="O12" s="241" t="s">
        <v>83</v>
      </c>
      <c r="P12" s="249" t="s">
        <v>228</v>
      </c>
      <c r="Q12" s="251" t="s">
        <v>84</v>
      </c>
      <c r="R12" s="251" t="s">
        <v>227</v>
      </c>
      <c r="S12" s="251" t="s">
        <v>251</v>
      </c>
      <c r="T12" s="320" t="s">
        <v>12</v>
      </c>
      <c r="U12" s="240" t="s">
        <v>17</v>
      </c>
      <c r="V12" s="240" t="s">
        <v>17</v>
      </c>
      <c r="W12" s="247"/>
      <c r="AA12" s="247">
        <f>U13-AB11</f>
        <v>600560.6799999997</v>
      </c>
    </row>
    <row r="13" spans="1:29" ht="36" customHeight="1" x14ac:dyDescent="0.25">
      <c r="A13" s="308" t="s">
        <v>18</v>
      </c>
      <c r="B13" s="256"/>
      <c r="C13" s="256"/>
      <c r="D13" s="305"/>
      <c r="E13" s="309"/>
      <c r="F13" s="309"/>
      <c r="G13" s="309"/>
      <c r="H13" s="309"/>
      <c r="I13" s="309"/>
      <c r="J13" s="309"/>
      <c r="K13" s="309"/>
      <c r="L13" s="323"/>
      <c r="M13" s="310"/>
      <c r="N13" s="325">
        <f>N14+N20</f>
        <v>9268784.4699999988</v>
      </c>
      <c r="O13" s="325">
        <f>O14+O20</f>
        <v>1639261.8</v>
      </c>
      <c r="P13" s="325"/>
      <c r="Q13" s="325">
        <f>Q14+Q20</f>
        <v>11415173.469999999</v>
      </c>
      <c r="R13" s="325"/>
      <c r="S13" s="325">
        <f>S21</f>
        <v>2817936</v>
      </c>
      <c r="T13" s="325">
        <f>T14+T20+T21</f>
        <v>25141155.739999998</v>
      </c>
      <c r="U13" s="311">
        <f>U14+U20+U21</f>
        <v>25141155.739999998</v>
      </c>
      <c r="V13" s="311">
        <f>V14+V20+V21</f>
        <v>25141155.739999998</v>
      </c>
      <c r="W13" s="247">
        <v>9687443.9800000004</v>
      </c>
      <c r="X13" s="247">
        <f>W13-Q13</f>
        <v>-1727729.4899999984</v>
      </c>
      <c r="Y13" s="235">
        <f>X13/144</f>
        <v>-11998.121458333322</v>
      </c>
      <c r="AA13" s="235">
        <v>8719839.9800000004</v>
      </c>
      <c r="AB13" s="247">
        <f>AA13-Q13</f>
        <v>-2695333.4899999984</v>
      </c>
      <c r="AC13" s="250">
        <f>AB13/I21</f>
        <v>-20419.193106060593</v>
      </c>
    </row>
    <row r="14" spans="1:29" ht="85.5" customHeight="1" x14ac:dyDescent="0.25">
      <c r="A14" s="239" t="s">
        <v>246</v>
      </c>
      <c r="B14" s="251" t="s">
        <v>76</v>
      </c>
      <c r="C14" s="251"/>
      <c r="D14" s="305"/>
      <c r="E14" s="309"/>
      <c r="F14" s="309"/>
      <c r="G14" s="309"/>
      <c r="H14" s="309"/>
      <c r="I14" s="309"/>
      <c r="J14" s="309"/>
      <c r="K14" s="309"/>
      <c r="L14" s="323"/>
      <c r="M14" s="309"/>
      <c r="N14" s="309">
        <f>N15+N16+N18+N17+N19</f>
        <v>9268784.4699999988</v>
      </c>
      <c r="O14" s="309">
        <f t="shared" ref="O14:T14" si="0">O15+O16+O18+O17+O19</f>
        <v>1639261.8</v>
      </c>
      <c r="P14" s="309">
        <f t="shared" si="0"/>
        <v>0</v>
      </c>
      <c r="Q14" s="323">
        <f>Q15+Q16+Q18+Q17+Q19</f>
        <v>9141503.4699999988</v>
      </c>
      <c r="R14" s="323">
        <f t="shared" si="0"/>
        <v>0</v>
      </c>
      <c r="S14" s="323">
        <f t="shared" si="0"/>
        <v>0</v>
      </c>
      <c r="T14" s="309">
        <f t="shared" si="0"/>
        <v>20049549.739999998</v>
      </c>
      <c r="U14" s="309">
        <f>U15+U16+U18+U17+U19</f>
        <v>20049549.739999998</v>
      </c>
      <c r="V14" s="309">
        <f>V15+V16+V18+V17+V19</f>
        <v>20049549.739999998</v>
      </c>
      <c r="W14" s="247">
        <v>21722659.059999999</v>
      </c>
      <c r="X14" s="247"/>
    </row>
    <row r="15" spans="1:29" ht="24" customHeight="1" x14ac:dyDescent="0.25">
      <c r="A15" s="239"/>
      <c r="B15" s="256" t="s">
        <v>266</v>
      </c>
      <c r="C15" s="417" t="s">
        <v>269</v>
      </c>
      <c r="D15" s="305" t="s">
        <v>20</v>
      </c>
      <c r="E15" s="312">
        <v>0</v>
      </c>
      <c r="F15" s="312">
        <v>0</v>
      </c>
      <c r="G15" s="312">
        <f t="shared" ref="G15:G19" si="1">((E15*8)+(F15*4))/12</f>
        <v>0</v>
      </c>
      <c r="H15" s="312">
        <v>0</v>
      </c>
      <c r="I15" s="312">
        <v>0</v>
      </c>
      <c r="J15" s="309">
        <v>52486.09</v>
      </c>
      <c r="K15" s="309">
        <f>(12142.68)</f>
        <v>12142.68</v>
      </c>
      <c r="L15" s="323">
        <v>67714.84</v>
      </c>
      <c r="M15" s="309">
        <f>J15+K15+L15</f>
        <v>132343.60999999999</v>
      </c>
      <c r="N15" s="309">
        <f>G15*J15</f>
        <v>0</v>
      </c>
      <c r="O15" s="309">
        <f t="shared" ref="O15:O20" si="2">G15*K15</f>
        <v>0</v>
      </c>
      <c r="P15" s="309"/>
      <c r="Q15" s="323">
        <f t="shared" ref="Q15:Q19" si="3">G15*L15</f>
        <v>0</v>
      </c>
      <c r="R15" s="323"/>
      <c r="S15" s="323">
        <v>0</v>
      </c>
      <c r="T15" s="309">
        <f t="shared" ref="T15:T20" si="4">SUM(N15:Q15)</f>
        <v>0</v>
      </c>
      <c r="U15" s="309">
        <v>0</v>
      </c>
      <c r="V15" s="309">
        <v>0</v>
      </c>
      <c r="X15" s="247">
        <f>W14-U13</f>
        <v>-3418496.6799999997</v>
      </c>
    </row>
    <row r="16" spans="1:29" ht="25.9" customHeight="1" x14ac:dyDescent="0.25">
      <c r="A16" s="256"/>
      <c r="B16" s="256" t="s">
        <v>264</v>
      </c>
      <c r="C16" s="418"/>
      <c r="D16" s="305" t="s">
        <v>20</v>
      </c>
      <c r="E16" s="312">
        <v>54</v>
      </c>
      <c r="F16" s="312">
        <v>54</v>
      </c>
      <c r="G16" s="312">
        <v>42</v>
      </c>
      <c r="H16" s="312">
        <v>54</v>
      </c>
      <c r="I16" s="312">
        <v>54</v>
      </c>
      <c r="J16" s="309">
        <v>41549.4</v>
      </c>
      <c r="K16" s="309">
        <f t="shared" ref="K16:K19" si="5">(12142.68)</f>
        <v>12142.68</v>
      </c>
      <c r="L16" s="323">
        <v>67714.84</v>
      </c>
      <c r="M16" s="309">
        <f>J16+K16+L16</f>
        <v>121406.92</v>
      </c>
      <c r="N16" s="309">
        <f>G16*J16</f>
        <v>1745074.8</v>
      </c>
      <c r="O16" s="309">
        <f t="shared" si="2"/>
        <v>509992.56</v>
      </c>
      <c r="P16" s="309"/>
      <c r="Q16" s="323">
        <f>G16*L16+0.07</f>
        <v>2844023.3499999996</v>
      </c>
      <c r="R16" s="323"/>
      <c r="S16" s="323">
        <v>0</v>
      </c>
      <c r="T16" s="309">
        <f t="shared" si="4"/>
        <v>5099090.709999999</v>
      </c>
      <c r="U16" s="309">
        <f>T16</f>
        <v>5099090.709999999</v>
      </c>
      <c r="V16" s="309">
        <f t="shared" ref="V16:V20" si="6">U16</f>
        <v>5099090.709999999</v>
      </c>
      <c r="X16" s="247"/>
    </row>
    <row r="17" spans="1:29" ht="82.9" customHeight="1" x14ac:dyDescent="0.25">
      <c r="A17" s="256"/>
      <c r="B17" s="239" t="s">
        <v>263</v>
      </c>
      <c r="C17" s="419"/>
      <c r="D17" s="305" t="s">
        <v>20</v>
      </c>
      <c r="E17" s="312">
        <v>60</v>
      </c>
      <c r="F17" s="312">
        <v>60</v>
      </c>
      <c r="G17" s="312">
        <v>46</v>
      </c>
      <c r="H17" s="312">
        <v>60</v>
      </c>
      <c r="I17" s="312">
        <v>60</v>
      </c>
      <c r="J17" s="313">
        <v>81939.37</v>
      </c>
      <c r="K17" s="309">
        <f t="shared" si="5"/>
        <v>12142.68</v>
      </c>
      <c r="L17" s="323">
        <v>67714.84</v>
      </c>
      <c r="M17" s="309">
        <f t="shared" ref="M17:M80" si="7">J17+K17+L17</f>
        <v>161796.88999999998</v>
      </c>
      <c r="N17" s="309">
        <f>G17*J17</f>
        <v>3769211.0199999996</v>
      </c>
      <c r="O17" s="309">
        <f t="shared" si="2"/>
        <v>558563.28</v>
      </c>
      <c r="P17" s="309"/>
      <c r="Q17" s="323">
        <f t="shared" si="3"/>
        <v>3114882.6399999997</v>
      </c>
      <c r="R17" s="323"/>
      <c r="S17" s="323">
        <v>0</v>
      </c>
      <c r="T17" s="309">
        <f t="shared" si="4"/>
        <v>7442656.9399999995</v>
      </c>
      <c r="U17" s="309">
        <f>T17</f>
        <v>7442656.9399999995</v>
      </c>
      <c r="V17" s="309">
        <f t="shared" si="6"/>
        <v>7442656.9399999995</v>
      </c>
      <c r="X17" s="247"/>
    </row>
    <row r="18" spans="1:29" ht="112.9" customHeight="1" x14ac:dyDescent="0.25">
      <c r="A18" s="256"/>
      <c r="B18" s="256" t="s">
        <v>264</v>
      </c>
      <c r="C18" s="239" t="s">
        <v>268</v>
      </c>
      <c r="D18" s="305" t="s">
        <v>20</v>
      </c>
      <c r="E18" s="312">
        <v>18</v>
      </c>
      <c r="F18" s="312">
        <v>18</v>
      </c>
      <c r="G18" s="312">
        <v>47</v>
      </c>
      <c r="H18" s="312">
        <v>18</v>
      </c>
      <c r="I18" s="312">
        <v>18</v>
      </c>
      <c r="J18" s="313">
        <v>79882.95</v>
      </c>
      <c r="K18" s="309">
        <f t="shared" si="5"/>
        <v>12142.68</v>
      </c>
      <c r="L18" s="323">
        <v>67714.84</v>
      </c>
      <c r="M18" s="309">
        <f t="shared" si="7"/>
        <v>159740.47</v>
      </c>
      <c r="N18" s="309">
        <f>G18*J18</f>
        <v>3754498.65</v>
      </c>
      <c r="O18" s="309">
        <f t="shared" si="2"/>
        <v>570705.96</v>
      </c>
      <c r="P18" s="309"/>
      <c r="Q18" s="323">
        <f t="shared" si="3"/>
        <v>3182597.48</v>
      </c>
      <c r="R18" s="323"/>
      <c r="S18" s="323">
        <v>0</v>
      </c>
      <c r="T18" s="309">
        <f t="shared" si="4"/>
        <v>7507802.0899999999</v>
      </c>
      <c r="U18" s="309">
        <f>T18</f>
        <v>7507802.0899999999</v>
      </c>
      <c r="V18" s="309">
        <f t="shared" si="6"/>
        <v>7507802.0899999999</v>
      </c>
      <c r="X18" s="247"/>
    </row>
    <row r="19" spans="1:29" ht="107.25" customHeight="1" x14ac:dyDescent="0.25">
      <c r="A19" s="256"/>
      <c r="B19" s="239" t="s">
        <v>265</v>
      </c>
      <c r="C19" s="239" t="s">
        <v>267</v>
      </c>
      <c r="D19" s="305" t="s">
        <v>31</v>
      </c>
      <c r="E19" s="312">
        <v>0</v>
      </c>
      <c r="F19" s="312">
        <v>0</v>
      </c>
      <c r="G19" s="312">
        <f t="shared" si="1"/>
        <v>0</v>
      </c>
      <c r="H19" s="312">
        <v>0</v>
      </c>
      <c r="I19" s="312">
        <v>0</v>
      </c>
      <c r="J19" s="313">
        <v>805924.76</v>
      </c>
      <c r="K19" s="309">
        <f t="shared" si="5"/>
        <v>12142.68</v>
      </c>
      <c r="L19" s="323">
        <v>67714.84</v>
      </c>
      <c r="M19" s="309">
        <v>856310.33297555987</v>
      </c>
      <c r="N19" s="309">
        <f>G19*J19</f>
        <v>0</v>
      </c>
      <c r="O19" s="309">
        <f t="shared" si="2"/>
        <v>0</v>
      </c>
      <c r="P19" s="309"/>
      <c r="Q19" s="323">
        <f t="shared" si="3"/>
        <v>0</v>
      </c>
      <c r="R19" s="323"/>
      <c r="S19" s="323"/>
      <c r="T19" s="309">
        <f t="shared" si="4"/>
        <v>0</v>
      </c>
      <c r="U19" s="309">
        <f>T19</f>
        <v>0</v>
      </c>
      <c r="V19" s="309">
        <f t="shared" si="6"/>
        <v>0</v>
      </c>
      <c r="X19" s="247">
        <f>((3*8)+(0*4))/12</f>
        <v>2</v>
      </c>
    </row>
    <row r="20" spans="1:29" s="254" customFormat="1" ht="69.599999999999994" customHeight="1" x14ac:dyDescent="0.25">
      <c r="A20" s="306" t="s">
        <v>247</v>
      </c>
      <c r="B20" s="305" t="s">
        <v>28</v>
      </c>
      <c r="C20" s="305" t="s">
        <v>219</v>
      </c>
      <c r="D20" s="305"/>
      <c r="E20" s="312">
        <f>E18+E17+E16+E15+E19</f>
        <v>132</v>
      </c>
      <c r="F20" s="312">
        <f>F18+F17+F16+F15+F19</f>
        <v>132</v>
      </c>
      <c r="G20" s="312">
        <f>G18+G17+G16+G15+G19</f>
        <v>135</v>
      </c>
      <c r="H20" s="312">
        <f t="shared" ref="H20:I20" si="8">H18+H17+H16+H15+H19</f>
        <v>132</v>
      </c>
      <c r="I20" s="312">
        <f t="shared" si="8"/>
        <v>132</v>
      </c>
      <c r="J20" s="309"/>
      <c r="K20" s="309"/>
      <c r="L20" s="323">
        <v>16842</v>
      </c>
      <c r="M20" s="309">
        <f>J20+K20+L20</f>
        <v>16842</v>
      </c>
      <c r="N20" s="312">
        <f>E20*J20</f>
        <v>0</v>
      </c>
      <c r="O20" s="309">
        <f t="shared" si="2"/>
        <v>0</v>
      </c>
      <c r="P20" s="309"/>
      <c r="Q20" s="323">
        <f>G20*L20</f>
        <v>2273670</v>
      </c>
      <c r="R20" s="323"/>
      <c r="S20" s="323">
        <v>0</v>
      </c>
      <c r="T20" s="309">
        <f t="shared" si="4"/>
        <v>2273670</v>
      </c>
      <c r="U20" s="309">
        <f>T20</f>
        <v>2273670</v>
      </c>
      <c r="V20" s="309">
        <f t="shared" si="6"/>
        <v>2273670</v>
      </c>
      <c r="AA20" s="255">
        <f>18835786.28+U34</f>
        <v>21013282.280000001</v>
      </c>
      <c r="AB20" s="255">
        <f>U24-AA20</f>
        <v>-1980311.0804604702</v>
      </c>
      <c r="AC20" s="255"/>
    </row>
    <row r="21" spans="1:29" s="236" customFormat="1" ht="27.6" customHeight="1" x14ac:dyDescent="0.25">
      <c r="A21" s="305"/>
      <c r="B21" s="305" t="s">
        <v>28</v>
      </c>
      <c r="C21" s="305" t="s">
        <v>220</v>
      </c>
      <c r="D21" s="305"/>
      <c r="E21" s="312"/>
      <c r="F21" s="312"/>
      <c r="G21" s="312">
        <v>132</v>
      </c>
      <c r="H21" s="312">
        <v>132</v>
      </c>
      <c r="I21" s="312">
        <v>132</v>
      </c>
      <c r="J21" s="309"/>
      <c r="K21" s="309"/>
      <c r="L21" s="323">
        <v>21348</v>
      </c>
      <c r="M21" s="309">
        <f>J21+K21+L21</f>
        <v>21348</v>
      </c>
      <c r="N21" s="312"/>
      <c r="O21" s="309"/>
      <c r="P21" s="309"/>
      <c r="Q21" s="323"/>
      <c r="R21" s="323"/>
      <c r="S21" s="323">
        <f>G21*L21</f>
        <v>2817936</v>
      </c>
      <c r="T21" s="309">
        <f>S21</f>
        <v>2817936</v>
      </c>
      <c r="U21" s="309">
        <f>S21</f>
        <v>2817936</v>
      </c>
      <c r="V21" s="309">
        <f>S21</f>
        <v>2817936</v>
      </c>
    </row>
    <row r="22" spans="1:29" ht="18.75" hidden="1" customHeight="1" x14ac:dyDescent="0.25">
      <c r="A22" s="256"/>
      <c r="B22" s="251"/>
      <c r="C22" s="256" t="s">
        <v>226</v>
      </c>
      <c r="D22" s="305"/>
      <c r="E22" s="312"/>
      <c r="F22" s="312"/>
      <c r="G22" s="312"/>
      <c r="H22" s="312"/>
      <c r="I22" s="312"/>
      <c r="J22" s="309"/>
      <c r="K22" s="309"/>
      <c r="L22" s="323"/>
      <c r="M22" s="309">
        <f t="shared" si="7"/>
        <v>0</v>
      </c>
      <c r="N22" s="312"/>
      <c r="O22" s="309"/>
      <c r="P22" s="312"/>
      <c r="Q22" s="323"/>
      <c r="R22" s="323"/>
      <c r="S22" s="323"/>
      <c r="T22" s="309">
        <f>N22+O22+P22+Q22</f>
        <v>0</v>
      </c>
      <c r="U22" s="309">
        <f>T22</f>
        <v>0</v>
      </c>
      <c r="V22" s="309">
        <f>U22</f>
        <v>0</v>
      </c>
    </row>
    <row r="23" spans="1:29" ht="18.75" customHeight="1" x14ac:dyDescent="0.25">
      <c r="A23" s="256"/>
      <c r="B23" s="251"/>
      <c r="C23" s="256"/>
      <c r="D23" s="305"/>
      <c r="E23" s="312"/>
      <c r="F23" s="312"/>
      <c r="G23" s="312"/>
      <c r="H23" s="312"/>
      <c r="I23" s="312"/>
      <c r="J23" s="309"/>
      <c r="K23" s="309"/>
      <c r="L23" s="323"/>
      <c r="M23" s="309">
        <f t="shared" si="7"/>
        <v>0</v>
      </c>
      <c r="N23" s="312"/>
      <c r="O23" s="309"/>
      <c r="P23" s="312"/>
      <c r="Q23" s="323"/>
      <c r="R23" s="323"/>
      <c r="S23" s="323"/>
      <c r="T23" s="309">
        <f>O23</f>
        <v>0</v>
      </c>
      <c r="U23" s="309">
        <f>T23</f>
        <v>0</v>
      </c>
      <c r="V23" s="309">
        <f>U23</f>
        <v>0</v>
      </c>
    </row>
    <row r="24" spans="1:29" ht="18.75" customHeight="1" x14ac:dyDescent="0.25">
      <c r="A24" s="308" t="s">
        <v>35</v>
      </c>
      <c r="B24" s="256"/>
      <c r="C24" s="256"/>
      <c r="D24" s="314"/>
      <c r="E24" s="315"/>
      <c r="F24" s="315"/>
      <c r="G24" s="315"/>
      <c r="H24" s="315"/>
      <c r="I24" s="315"/>
      <c r="J24" s="311"/>
      <c r="K24" s="309"/>
      <c r="L24" s="324"/>
      <c r="M24" s="309">
        <f t="shared" si="7"/>
        <v>0</v>
      </c>
      <c r="N24" s="325">
        <f>N25+N33</f>
        <v>9105347.9195395317</v>
      </c>
      <c r="O24" s="325">
        <f>O25</f>
        <v>1238553.3600000001</v>
      </c>
      <c r="P24" s="330">
        <f>P25</f>
        <v>0</v>
      </c>
      <c r="Q24" s="325">
        <f>Q25+Q33</f>
        <v>6511573.9199999999</v>
      </c>
      <c r="R24" s="325">
        <f>R25</f>
        <v>0</v>
      </c>
      <c r="S24" s="325">
        <f>S34</f>
        <v>2177496</v>
      </c>
      <c r="T24" s="325">
        <f>T25+T33+T34</f>
        <v>19032971.199539531</v>
      </c>
      <c r="U24" s="325">
        <f t="shared" ref="U24:V24" si="9">U25+U33+U34</f>
        <v>19032971.199539531</v>
      </c>
      <c r="V24" s="325">
        <f t="shared" si="9"/>
        <v>19032971.199539531</v>
      </c>
      <c r="W24" s="235">
        <v>6438122.5499999998</v>
      </c>
      <c r="X24" s="247">
        <f>W24-Q24</f>
        <v>-73451.370000000112</v>
      </c>
      <c r="Y24" s="235">
        <f>X24/108</f>
        <v>-680.10527777777884</v>
      </c>
      <c r="AA24" s="235">
        <v>6003686.5499999998</v>
      </c>
      <c r="AB24" s="247">
        <f>AA24-Q24</f>
        <v>-507887.37000000011</v>
      </c>
      <c r="AC24" s="235">
        <f>AB24/I33</f>
        <v>-4979.2879411764716</v>
      </c>
    </row>
    <row r="25" spans="1:29" ht="84.75" customHeight="1" x14ac:dyDescent="0.25">
      <c r="A25" s="239" t="s">
        <v>246</v>
      </c>
      <c r="B25" s="251" t="s">
        <v>76</v>
      </c>
      <c r="C25" s="251"/>
      <c r="D25" s="305"/>
      <c r="E25" s="312"/>
      <c r="F25" s="312"/>
      <c r="G25" s="312"/>
      <c r="H25" s="312"/>
      <c r="I25" s="312"/>
      <c r="J25" s="309"/>
      <c r="K25" s="309"/>
      <c r="L25" s="323"/>
      <c r="M25" s="309">
        <f t="shared" si="7"/>
        <v>0</v>
      </c>
      <c r="N25" s="309">
        <f>SUM(N26:N34)</f>
        <v>9105347.9195395317</v>
      </c>
      <c r="O25" s="309">
        <f>SUM(O26:O34)</f>
        <v>1238553.3600000001</v>
      </c>
      <c r="P25" s="312"/>
      <c r="Q25" s="323">
        <f>SUM(Q26:Q30)</f>
        <v>4793689.92</v>
      </c>
      <c r="R25" s="323"/>
      <c r="S25" s="323"/>
      <c r="T25" s="309">
        <f>SUM(T26:T32)</f>
        <v>15137591.199539531</v>
      </c>
      <c r="U25" s="309">
        <f>SUM(U26:U32)</f>
        <v>15137591.199539531</v>
      </c>
      <c r="V25" s="309">
        <f>SUM(V26:V32)</f>
        <v>15137591.199539531</v>
      </c>
      <c r="W25" s="247">
        <v>18835786.280000001</v>
      </c>
      <c r="Y25" s="247"/>
      <c r="AA25" s="247"/>
    </row>
    <row r="26" spans="1:29" ht="52.5" customHeight="1" x14ac:dyDescent="0.25">
      <c r="A26" s="239"/>
      <c r="B26" s="256" t="s">
        <v>266</v>
      </c>
      <c r="C26" s="417" t="s">
        <v>269</v>
      </c>
      <c r="D26" s="305" t="s">
        <v>20</v>
      </c>
      <c r="E26" s="312">
        <v>19</v>
      </c>
      <c r="F26" s="312">
        <v>19</v>
      </c>
      <c r="G26" s="312">
        <v>14</v>
      </c>
      <c r="H26" s="312">
        <v>19</v>
      </c>
      <c r="I26" s="312">
        <v>19</v>
      </c>
      <c r="J26" s="309">
        <f>45831*1.00524751162</f>
        <v>46071.498705056219</v>
      </c>
      <c r="K26" s="309">
        <f>(12142.68)</f>
        <v>12142.68</v>
      </c>
      <c r="L26" s="323">
        <v>46996.959999999999</v>
      </c>
      <c r="M26" s="309">
        <f t="shared" si="7"/>
        <v>105211.13870505622</v>
      </c>
      <c r="N26" s="309">
        <f>G26*J26</f>
        <v>645000.9818707871</v>
      </c>
      <c r="O26" s="309">
        <f>G26*K26</f>
        <v>169997.52000000002</v>
      </c>
      <c r="P26" s="312"/>
      <c r="Q26" s="323">
        <f>G26*L26</f>
        <v>657957.43999999994</v>
      </c>
      <c r="R26" s="323"/>
      <c r="S26" s="323"/>
      <c r="T26" s="309">
        <f>SUM(N26:Q26)</f>
        <v>1472955.9418707872</v>
      </c>
      <c r="U26" s="309">
        <f>T26</f>
        <v>1472955.9418707872</v>
      </c>
      <c r="V26" s="309">
        <f>U26</f>
        <v>1472955.9418707872</v>
      </c>
      <c r="X26" s="247">
        <f>W25-U24</f>
        <v>-197184.91953952983</v>
      </c>
    </row>
    <row r="27" spans="1:29" ht="52.5" customHeight="1" x14ac:dyDescent="0.25">
      <c r="A27" s="239"/>
      <c r="B27" s="256" t="s">
        <v>264</v>
      </c>
      <c r="C27" s="419"/>
      <c r="D27" s="305" t="s">
        <v>20</v>
      </c>
      <c r="E27" s="312">
        <v>0</v>
      </c>
      <c r="F27" s="312">
        <v>0</v>
      </c>
      <c r="G27" s="312">
        <f t="shared" ref="G27:G32" si="10">((E27*8)+(F27*4))/12</f>
        <v>0</v>
      </c>
      <c r="H27" s="312">
        <v>0</v>
      </c>
      <c r="I27" s="312">
        <v>0</v>
      </c>
      <c r="J27" s="309">
        <f>36323.51</f>
        <v>36323.51</v>
      </c>
      <c r="K27" s="309">
        <f t="shared" ref="K27:K30" si="11">(12142.68)</f>
        <v>12142.68</v>
      </c>
      <c r="L27" s="323">
        <v>46996.959999999999</v>
      </c>
      <c r="M27" s="309">
        <f t="shared" si="7"/>
        <v>95463.15</v>
      </c>
      <c r="N27" s="309">
        <f>G27*J27</f>
        <v>0</v>
      </c>
      <c r="O27" s="309">
        <f>G27*K27</f>
        <v>0</v>
      </c>
      <c r="P27" s="312"/>
      <c r="Q27" s="323">
        <f>G27*L27</f>
        <v>0</v>
      </c>
      <c r="R27" s="323"/>
      <c r="S27" s="323"/>
      <c r="T27" s="309">
        <f>SUM(N27:Q27)</f>
        <v>0</v>
      </c>
      <c r="U27" s="309">
        <v>0</v>
      </c>
      <c r="V27" s="309">
        <f>U27</f>
        <v>0</v>
      </c>
    </row>
    <row r="28" spans="1:29" ht="54.75" customHeight="1" x14ac:dyDescent="0.25">
      <c r="A28" s="239"/>
      <c r="B28" s="256" t="s">
        <v>311</v>
      </c>
      <c r="C28" s="417" t="s">
        <v>270</v>
      </c>
      <c r="D28" s="305" t="s">
        <v>20</v>
      </c>
      <c r="E28" s="312">
        <v>0</v>
      </c>
      <c r="F28" s="312">
        <v>0</v>
      </c>
      <c r="G28" s="312">
        <f t="shared" si="10"/>
        <v>0</v>
      </c>
      <c r="H28" s="312">
        <v>0</v>
      </c>
      <c r="I28" s="312">
        <v>0</v>
      </c>
      <c r="J28" s="309">
        <f>151319.69</f>
        <v>151319.69</v>
      </c>
      <c r="K28" s="309">
        <f t="shared" si="11"/>
        <v>12142.68</v>
      </c>
      <c r="L28" s="323">
        <v>46996.959999999999</v>
      </c>
      <c r="M28" s="309">
        <f t="shared" si="7"/>
        <v>210459.33</v>
      </c>
      <c r="N28" s="309">
        <f>G28*J28</f>
        <v>0</v>
      </c>
      <c r="O28" s="309">
        <f>G28*K28</f>
        <v>0</v>
      </c>
      <c r="P28" s="312"/>
      <c r="Q28" s="323">
        <f>G28*L28</f>
        <v>0</v>
      </c>
      <c r="R28" s="323"/>
      <c r="S28" s="323"/>
      <c r="T28" s="309">
        <f>SUM(N28:Q28)</f>
        <v>0</v>
      </c>
      <c r="U28" s="309">
        <v>0</v>
      </c>
      <c r="V28" s="309">
        <f>U28</f>
        <v>0</v>
      </c>
    </row>
    <row r="29" spans="1:29" ht="50.25" customHeight="1" x14ac:dyDescent="0.25">
      <c r="A29" s="239"/>
      <c r="B29" s="256" t="s">
        <v>287</v>
      </c>
      <c r="C29" s="420"/>
      <c r="D29" s="305" t="s">
        <v>20</v>
      </c>
      <c r="E29" s="312">
        <v>30</v>
      </c>
      <c r="F29" s="312">
        <v>30</v>
      </c>
      <c r="G29" s="312">
        <v>28</v>
      </c>
      <c r="H29" s="312">
        <v>30</v>
      </c>
      <c r="I29" s="312">
        <v>30</v>
      </c>
      <c r="J29" s="309">
        <f>151319.69*1.00524751162</f>
        <v>152113.74183160978</v>
      </c>
      <c r="K29" s="309">
        <f t="shared" si="11"/>
        <v>12142.68</v>
      </c>
      <c r="L29" s="323">
        <v>46996.959999999999</v>
      </c>
      <c r="M29" s="309">
        <f t="shared" si="7"/>
        <v>211253.38183160976</v>
      </c>
      <c r="N29" s="309">
        <f>G29*J29</f>
        <v>4259184.7712850738</v>
      </c>
      <c r="O29" s="309">
        <f>G29*K29</f>
        <v>339995.04000000004</v>
      </c>
      <c r="P29" s="312"/>
      <c r="Q29" s="323">
        <f>G29*L29</f>
        <v>1315914.8799999999</v>
      </c>
      <c r="R29" s="323"/>
      <c r="S29" s="323"/>
      <c r="T29" s="309">
        <f>SUM(N29:Q29)</f>
        <v>5915094.6912850738</v>
      </c>
      <c r="U29" s="309">
        <f>T29</f>
        <v>5915094.6912850738</v>
      </c>
      <c r="V29" s="309">
        <f>U29</f>
        <v>5915094.6912850738</v>
      </c>
    </row>
    <row r="30" spans="1:29" ht="105.75" customHeight="1" x14ac:dyDescent="0.25">
      <c r="A30" s="239"/>
      <c r="B30" s="239" t="s">
        <v>272</v>
      </c>
      <c r="C30" s="239" t="s">
        <v>271</v>
      </c>
      <c r="D30" s="305" t="s">
        <v>20</v>
      </c>
      <c r="E30" s="312">
        <v>53</v>
      </c>
      <c r="F30" s="312">
        <v>53</v>
      </c>
      <c r="G30" s="312">
        <v>60</v>
      </c>
      <c r="H30" s="312">
        <v>53</v>
      </c>
      <c r="I30" s="312">
        <v>53</v>
      </c>
      <c r="J30" s="313">
        <f>69653.86*1.00524751162</f>
        <v>70019.369439727845</v>
      </c>
      <c r="K30" s="309">
        <f t="shared" si="11"/>
        <v>12142.68</v>
      </c>
      <c r="L30" s="323">
        <v>46996.959999999999</v>
      </c>
      <c r="M30" s="309">
        <f t="shared" si="7"/>
        <v>129159.00943972784</v>
      </c>
      <c r="N30" s="309">
        <f>G30*J30</f>
        <v>4201162.1663836706</v>
      </c>
      <c r="O30" s="309">
        <f>G30*K30</f>
        <v>728560.8</v>
      </c>
      <c r="P30" s="312"/>
      <c r="Q30" s="323">
        <f>G30*L30</f>
        <v>2819817.6</v>
      </c>
      <c r="R30" s="323"/>
      <c r="S30" s="323"/>
      <c r="T30" s="309">
        <f>SUM(N30:Q30)</f>
        <v>7749540.566383671</v>
      </c>
      <c r="U30" s="309">
        <f>T30</f>
        <v>7749540.566383671</v>
      </c>
      <c r="V30" s="309">
        <f>U30</f>
        <v>7749540.566383671</v>
      </c>
    </row>
    <row r="31" spans="1:29" ht="18.75" hidden="1" customHeight="1" x14ac:dyDescent="0.25">
      <c r="A31" s="239"/>
      <c r="B31" s="251"/>
      <c r="C31" s="256" t="s">
        <v>226</v>
      </c>
      <c r="D31" s="305"/>
      <c r="E31" s="312"/>
      <c r="F31" s="312"/>
      <c r="G31" s="312">
        <f t="shared" si="10"/>
        <v>0</v>
      </c>
      <c r="H31" s="312"/>
      <c r="I31" s="312"/>
      <c r="J31" s="309"/>
      <c r="K31" s="309">
        <f t="shared" ref="K31:K63" si="12">(12142.68*2.133649)</f>
        <v>25908.217039320003</v>
      </c>
      <c r="L31" s="323">
        <v>46996.959999999999</v>
      </c>
      <c r="M31" s="309">
        <f t="shared" si="7"/>
        <v>72905.177039319999</v>
      </c>
      <c r="N31" s="312"/>
      <c r="O31" s="309"/>
      <c r="P31" s="312"/>
      <c r="Q31" s="323"/>
      <c r="R31" s="323"/>
      <c r="S31" s="323"/>
      <c r="T31" s="309">
        <f>N31</f>
        <v>0</v>
      </c>
      <c r="U31" s="309">
        <f t="shared" ref="U31:V33" si="13">T31</f>
        <v>0</v>
      </c>
      <c r="V31" s="309">
        <f t="shared" si="13"/>
        <v>0</v>
      </c>
    </row>
    <row r="32" spans="1:29" ht="20.25" hidden="1" customHeight="1" x14ac:dyDescent="0.25">
      <c r="A32" s="239"/>
      <c r="B32" s="251"/>
      <c r="C32" s="256"/>
      <c r="D32" s="305"/>
      <c r="E32" s="312"/>
      <c r="F32" s="312"/>
      <c r="G32" s="312">
        <f t="shared" si="10"/>
        <v>0</v>
      </c>
      <c r="H32" s="312"/>
      <c r="I32" s="312"/>
      <c r="J32" s="309"/>
      <c r="K32" s="309">
        <f t="shared" si="12"/>
        <v>25908.217039320003</v>
      </c>
      <c r="L32" s="323">
        <v>46996.959999999999</v>
      </c>
      <c r="M32" s="309">
        <f t="shared" si="7"/>
        <v>72905.177039319999</v>
      </c>
      <c r="N32" s="312"/>
      <c r="O32" s="309"/>
      <c r="P32" s="312"/>
      <c r="Q32" s="323"/>
      <c r="R32" s="323"/>
      <c r="S32" s="323"/>
      <c r="T32" s="309">
        <f>O32</f>
        <v>0</v>
      </c>
      <c r="U32" s="309">
        <f t="shared" si="13"/>
        <v>0</v>
      </c>
      <c r="V32" s="309">
        <f t="shared" si="13"/>
        <v>0</v>
      </c>
    </row>
    <row r="33" spans="1:29" ht="59.45" customHeight="1" x14ac:dyDescent="0.25">
      <c r="A33" s="239" t="s">
        <v>247</v>
      </c>
      <c r="B33" s="256" t="s">
        <v>305</v>
      </c>
      <c r="C33" s="256" t="s">
        <v>219</v>
      </c>
      <c r="D33" s="305" t="s">
        <v>20</v>
      </c>
      <c r="E33" s="312">
        <f>E26+E27+E28+E29+E30</f>
        <v>102</v>
      </c>
      <c r="F33" s="312">
        <f>F26+F27+F28+F29+F30</f>
        <v>102</v>
      </c>
      <c r="G33" s="312">
        <f>G26+G27+G28+G29+G30</f>
        <v>102</v>
      </c>
      <c r="H33" s="312">
        <v>102</v>
      </c>
      <c r="I33" s="312">
        <v>102</v>
      </c>
      <c r="J33" s="309"/>
      <c r="K33" s="309"/>
      <c r="L33" s="323">
        <v>16842</v>
      </c>
      <c r="M33" s="309">
        <f t="shared" si="7"/>
        <v>16842</v>
      </c>
      <c r="N33" s="312">
        <f>E33*J33</f>
        <v>0</v>
      </c>
      <c r="O33" s="309"/>
      <c r="P33" s="312"/>
      <c r="Q33" s="323">
        <f>G33*L33</f>
        <v>1717884</v>
      </c>
      <c r="R33" s="323"/>
      <c r="S33" s="323"/>
      <c r="T33" s="309">
        <f>SUM(N33:Q33)</f>
        <v>1717884</v>
      </c>
      <c r="U33" s="309">
        <f t="shared" si="13"/>
        <v>1717884</v>
      </c>
      <c r="V33" s="309">
        <f t="shared" si="13"/>
        <v>1717884</v>
      </c>
    </row>
    <row r="34" spans="1:29" ht="24" customHeight="1" x14ac:dyDescent="0.25">
      <c r="A34" s="256"/>
      <c r="B34" s="256" t="s">
        <v>305</v>
      </c>
      <c r="C34" s="256" t="s">
        <v>220</v>
      </c>
      <c r="D34" s="305"/>
      <c r="E34" s="312"/>
      <c r="F34" s="312"/>
      <c r="G34" s="312">
        <v>102</v>
      </c>
      <c r="H34" s="312">
        <v>102</v>
      </c>
      <c r="I34" s="312">
        <v>102</v>
      </c>
      <c r="J34" s="309"/>
      <c r="K34" s="309"/>
      <c r="L34" s="323">
        <v>21348</v>
      </c>
      <c r="M34" s="309">
        <f t="shared" si="7"/>
        <v>21348</v>
      </c>
      <c r="N34" s="312"/>
      <c r="O34" s="309"/>
      <c r="P34" s="312"/>
      <c r="Q34" s="323"/>
      <c r="R34" s="323"/>
      <c r="S34" s="323">
        <f>G34*L34</f>
        <v>2177496</v>
      </c>
      <c r="T34" s="309">
        <f>S34</f>
        <v>2177496</v>
      </c>
      <c r="U34" s="309">
        <f>S34</f>
        <v>2177496</v>
      </c>
      <c r="V34" s="309">
        <f>S34</f>
        <v>2177496</v>
      </c>
    </row>
    <row r="35" spans="1:29" ht="26.45" customHeight="1" x14ac:dyDescent="0.25">
      <c r="A35" s="308" t="s">
        <v>40</v>
      </c>
      <c r="B35" s="308"/>
      <c r="C35" s="308"/>
      <c r="D35" s="314"/>
      <c r="E35" s="315"/>
      <c r="F35" s="315"/>
      <c r="G35" s="315"/>
      <c r="H35" s="315"/>
      <c r="I35" s="315"/>
      <c r="J35" s="311"/>
      <c r="K35" s="309"/>
      <c r="L35" s="325"/>
      <c r="M35" s="309">
        <f t="shared" si="7"/>
        <v>0</v>
      </c>
      <c r="N35" s="325">
        <f>N36+N44</f>
        <v>7234927.8399999999</v>
      </c>
      <c r="O35" s="325">
        <f>O36+O44</f>
        <v>1323552.1199999999</v>
      </c>
      <c r="P35" s="325"/>
      <c r="Q35" s="325">
        <f>Q36+Q44</f>
        <v>6958446.6400000006</v>
      </c>
      <c r="R35" s="325"/>
      <c r="S35" s="325">
        <f>S45</f>
        <v>2348280</v>
      </c>
      <c r="T35" s="325">
        <f>T36+T44+T45</f>
        <v>17865206.600000001</v>
      </c>
      <c r="U35" s="311">
        <f>U36+U44+U45</f>
        <v>17865206.600000001</v>
      </c>
      <c r="V35" s="311">
        <f>V36+V44+V45</f>
        <v>17865206.600000001</v>
      </c>
      <c r="W35" s="247">
        <v>6077312.0300000003</v>
      </c>
      <c r="X35" s="247">
        <f>W35-Q35</f>
        <v>-881134.61000000034</v>
      </c>
      <c r="Y35" s="235">
        <f>X35/G44</f>
        <v>-8083.8037614678933</v>
      </c>
      <c r="AA35" s="235">
        <v>5754388.0300000003</v>
      </c>
      <c r="AB35" s="247">
        <f>AA35-Q35</f>
        <v>-1204058.6100000003</v>
      </c>
      <c r="AC35" s="235">
        <f>AB35/I44</f>
        <v>-10945.987363636366</v>
      </c>
    </row>
    <row r="36" spans="1:29" ht="78.599999999999994" customHeight="1" x14ac:dyDescent="0.25">
      <c r="A36" s="239" t="s">
        <v>246</v>
      </c>
      <c r="B36" s="251" t="s">
        <v>76</v>
      </c>
      <c r="C36" s="251"/>
      <c r="D36" s="305"/>
      <c r="E36" s="312"/>
      <c r="F36" s="312"/>
      <c r="G36" s="312"/>
      <c r="H36" s="312"/>
      <c r="I36" s="312"/>
      <c r="J36" s="309"/>
      <c r="K36" s="309"/>
      <c r="L36" s="323"/>
      <c r="M36" s="309">
        <f t="shared" si="7"/>
        <v>0</v>
      </c>
      <c r="N36" s="309">
        <f>SUM(N37:N45)</f>
        <v>7234927.8399999999</v>
      </c>
      <c r="O36" s="309">
        <f>SUM(O37:O45)</f>
        <v>1323552.1199999999</v>
      </c>
      <c r="P36" s="309"/>
      <c r="Q36" s="323">
        <f>SUM(Q37:Q39)</f>
        <v>5122668.6400000006</v>
      </c>
      <c r="R36" s="323"/>
      <c r="S36" s="323"/>
      <c r="T36" s="309">
        <f>SUM(T37:T43)</f>
        <v>13681148.6</v>
      </c>
      <c r="U36" s="309">
        <f>SUM(U37:U43)</f>
        <v>13681148.6</v>
      </c>
      <c r="V36" s="309">
        <f>SUM(V37:V43)</f>
        <v>13681148.6</v>
      </c>
      <c r="W36" s="247">
        <v>15224915.029999999</v>
      </c>
      <c r="AA36" s="247">
        <f>15224915.03+U45</f>
        <v>17573195.030000001</v>
      </c>
      <c r="AB36" s="247">
        <f>U35-AA36</f>
        <v>292011.5700000003</v>
      </c>
    </row>
    <row r="37" spans="1:29" ht="57.6" customHeight="1" x14ac:dyDescent="0.25">
      <c r="A37" s="239"/>
      <c r="B37" s="256" t="s">
        <v>266</v>
      </c>
      <c r="C37" s="417" t="s">
        <v>269</v>
      </c>
      <c r="D37" s="305" t="s">
        <v>20</v>
      </c>
      <c r="E37" s="312">
        <v>21</v>
      </c>
      <c r="F37" s="312">
        <v>21</v>
      </c>
      <c r="G37" s="312">
        <v>15</v>
      </c>
      <c r="H37" s="312">
        <v>21</v>
      </c>
      <c r="I37" s="312">
        <v>21</v>
      </c>
      <c r="J37" s="309">
        <f>45831</f>
        <v>45831</v>
      </c>
      <c r="K37" s="309">
        <f>(12142.68)</f>
        <v>12142.68</v>
      </c>
      <c r="L37" s="323">
        <v>46996.959999999999</v>
      </c>
      <c r="M37" s="309">
        <f t="shared" si="7"/>
        <v>104970.64</v>
      </c>
      <c r="N37" s="309">
        <f>G37*J37</f>
        <v>687465</v>
      </c>
      <c r="O37" s="309">
        <f>(G37*K37)</f>
        <v>182140.2</v>
      </c>
      <c r="P37" s="312"/>
      <c r="Q37" s="323">
        <f>G37*L37</f>
        <v>704954.4</v>
      </c>
      <c r="R37" s="323"/>
      <c r="S37" s="323"/>
      <c r="T37" s="309">
        <f>SUM(N37:Q37)</f>
        <v>1574559.6</v>
      </c>
      <c r="U37" s="309">
        <f t="shared" ref="U37:V39" si="14">T37</f>
        <v>1574559.6</v>
      </c>
      <c r="V37" s="309">
        <f t="shared" si="14"/>
        <v>1574559.6</v>
      </c>
      <c r="X37" s="247">
        <f>W36-U35</f>
        <v>-2640291.5700000022</v>
      </c>
    </row>
    <row r="38" spans="1:29" ht="40.9" customHeight="1" x14ac:dyDescent="0.25">
      <c r="A38" s="256"/>
      <c r="B38" s="256" t="s">
        <v>264</v>
      </c>
      <c r="C38" s="419"/>
      <c r="D38" s="305" t="s">
        <v>20</v>
      </c>
      <c r="E38" s="312">
        <v>19</v>
      </c>
      <c r="F38" s="312">
        <v>19</v>
      </c>
      <c r="G38" s="312"/>
      <c r="H38" s="312">
        <v>19</v>
      </c>
      <c r="I38" s="312">
        <v>19</v>
      </c>
      <c r="J38" s="309">
        <v>36323.51</v>
      </c>
      <c r="K38" s="309">
        <f>(12142.68)</f>
        <v>12142.68</v>
      </c>
      <c r="L38" s="323">
        <v>46996.959999999999</v>
      </c>
      <c r="M38" s="309">
        <f t="shared" si="7"/>
        <v>95463.15</v>
      </c>
      <c r="N38" s="309">
        <f>G38*J38</f>
        <v>0</v>
      </c>
      <c r="O38" s="309">
        <f>G38*K38</f>
        <v>0</v>
      </c>
      <c r="P38" s="312"/>
      <c r="Q38" s="323">
        <f>G38*L38</f>
        <v>0</v>
      </c>
      <c r="R38" s="323"/>
      <c r="S38" s="323"/>
      <c r="T38" s="309">
        <f>SUM(N38:Q38)</f>
        <v>0</v>
      </c>
      <c r="U38" s="309">
        <f t="shared" si="14"/>
        <v>0</v>
      </c>
      <c r="V38" s="309">
        <f t="shared" si="14"/>
        <v>0</v>
      </c>
    </row>
    <row r="39" spans="1:29" ht="120" x14ac:dyDescent="0.25">
      <c r="A39" s="256"/>
      <c r="B39" s="256" t="s">
        <v>264</v>
      </c>
      <c r="C39" s="239" t="s">
        <v>268</v>
      </c>
      <c r="D39" s="305" t="s">
        <v>20</v>
      </c>
      <c r="E39" s="312">
        <v>70</v>
      </c>
      <c r="F39" s="312">
        <v>70</v>
      </c>
      <c r="G39" s="312">
        <v>94</v>
      </c>
      <c r="H39" s="312">
        <v>70</v>
      </c>
      <c r="I39" s="312">
        <v>70</v>
      </c>
      <c r="J39" s="313">
        <v>69653.86</v>
      </c>
      <c r="K39" s="309">
        <f>(12142.68)</f>
        <v>12142.68</v>
      </c>
      <c r="L39" s="323">
        <v>46996.959999999999</v>
      </c>
      <c r="M39" s="309">
        <f t="shared" si="7"/>
        <v>128793.5</v>
      </c>
      <c r="N39" s="309">
        <f>G39*J39</f>
        <v>6547462.8399999999</v>
      </c>
      <c r="O39" s="309">
        <f>G39*K39</f>
        <v>1141411.92</v>
      </c>
      <c r="P39" s="312"/>
      <c r="Q39" s="323">
        <f>G39*L39</f>
        <v>4417714.24</v>
      </c>
      <c r="R39" s="323"/>
      <c r="S39" s="323"/>
      <c r="T39" s="309">
        <f>SUM(N39:Q39)</f>
        <v>12106589</v>
      </c>
      <c r="U39" s="309">
        <f t="shared" si="14"/>
        <v>12106589</v>
      </c>
      <c r="V39" s="309">
        <f t="shared" si="14"/>
        <v>12106589</v>
      </c>
    </row>
    <row r="40" spans="1:29" s="236" customFormat="1" hidden="1" x14ac:dyDescent="0.25">
      <c r="A40" s="305"/>
      <c r="B40" s="314" t="s">
        <v>258</v>
      </c>
      <c r="C40" s="305" t="s">
        <v>226</v>
      </c>
      <c r="D40" s="305"/>
      <c r="E40" s="312"/>
      <c r="F40" s="312"/>
      <c r="G40" s="312"/>
      <c r="H40" s="312"/>
      <c r="I40" s="312"/>
      <c r="J40" s="309"/>
      <c r="K40" s="309">
        <f t="shared" si="12"/>
        <v>25908.217039320003</v>
      </c>
      <c r="L40" s="323">
        <v>46996.959999999999</v>
      </c>
      <c r="M40" s="309">
        <f t="shared" si="7"/>
        <v>72905.177039319999</v>
      </c>
      <c r="N40" s="312"/>
      <c r="O40" s="309"/>
      <c r="P40" s="312"/>
      <c r="Q40" s="323"/>
      <c r="R40" s="323"/>
      <c r="S40" s="323"/>
      <c r="T40" s="309">
        <f>O40</f>
        <v>0</v>
      </c>
      <c r="U40" s="309">
        <f t="shared" ref="U40:V44" si="15">T40</f>
        <v>0</v>
      </c>
      <c r="V40" s="309">
        <f>U40</f>
        <v>0</v>
      </c>
    </row>
    <row r="41" spans="1:29" s="236" customFormat="1" hidden="1" x14ac:dyDescent="0.25">
      <c r="A41" s="305"/>
      <c r="B41" s="314" t="s">
        <v>259</v>
      </c>
      <c r="C41" s="305" t="s">
        <v>226</v>
      </c>
      <c r="D41" s="305"/>
      <c r="E41" s="312"/>
      <c r="F41" s="312"/>
      <c r="G41" s="312"/>
      <c r="H41" s="312"/>
      <c r="I41" s="312"/>
      <c r="J41" s="309"/>
      <c r="K41" s="309">
        <f t="shared" si="12"/>
        <v>25908.217039320003</v>
      </c>
      <c r="L41" s="323">
        <v>46996.959999999999</v>
      </c>
      <c r="M41" s="309">
        <f t="shared" si="7"/>
        <v>72905.177039319999</v>
      </c>
      <c r="N41" s="312"/>
      <c r="O41" s="309"/>
      <c r="P41" s="312"/>
      <c r="Q41" s="323"/>
      <c r="R41" s="323"/>
      <c r="S41" s="323"/>
      <c r="T41" s="309">
        <f>N41</f>
        <v>0</v>
      </c>
      <c r="U41" s="309">
        <f t="shared" si="15"/>
        <v>0</v>
      </c>
      <c r="V41" s="309">
        <f t="shared" si="15"/>
        <v>0</v>
      </c>
    </row>
    <row r="42" spans="1:29" ht="45.75" hidden="1" customHeight="1" x14ac:dyDescent="0.25">
      <c r="A42" s="256"/>
      <c r="B42" s="251" t="s">
        <v>253</v>
      </c>
      <c r="C42" s="256" t="s">
        <v>226</v>
      </c>
      <c r="D42" s="305"/>
      <c r="E42" s="312"/>
      <c r="F42" s="312"/>
      <c r="G42" s="312"/>
      <c r="H42" s="312"/>
      <c r="I42" s="312"/>
      <c r="J42" s="309"/>
      <c r="K42" s="309">
        <f t="shared" si="12"/>
        <v>25908.217039320003</v>
      </c>
      <c r="L42" s="323">
        <v>46996.959999999999</v>
      </c>
      <c r="M42" s="309">
        <f t="shared" si="7"/>
        <v>72905.177039319999</v>
      </c>
      <c r="N42" s="312"/>
      <c r="O42" s="309"/>
      <c r="P42" s="312"/>
      <c r="Q42" s="323"/>
      <c r="R42" s="323"/>
      <c r="S42" s="323"/>
      <c r="T42" s="309">
        <f>N42</f>
        <v>0</v>
      </c>
      <c r="U42" s="309">
        <f t="shared" si="15"/>
        <v>0</v>
      </c>
      <c r="V42" s="309">
        <f t="shared" si="15"/>
        <v>0</v>
      </c>
    </row>
    <row r="43" spans="1:29" hidden="1" x14ac:dyDescent="0.25">
      <c r="A43" s="256"/>
      <c r="B43" s="251" t="s">
        <v>256</v>
      </c>
      <c r="C43" s="256"/>
      <c r="D43" s="305"/>
      <c r="E43" s="312"/>
      <c r="F43" s="312"/>
      <c r="G43" s="312"/>
      <c r="H43" s="312"/>
      <c r="I43" s="312"/>
      <c r="J43" s="309"/>
      <c r="K43" s="309">
        <f t="shared" si="12"/>
        <v>25908.217039320003</v>
      </c>
      <c r="L43" s="323">
        <v>46996.959999999999</v>
      </c>
      <c r="M43" s="309">
        <f t="shared" si="7"/>
        <v>72905.177039319999</v>
      </c>
      <c r="N43" s="312"/>
      <c r="O43" s="309"/>
      <c r="P43" s="312"/>
      <c r="Q43" s="323"/>
      <c r="R43" s="323"/>
      <c r="S43" s="323"/>
      <c r="T43" s="309">
        <f>O43</f>
        <v>0</v>
      </c>
      <c r="U43" s="309">
        <f t="shared" si="15"/>
        <v>0</v>
      </c>
      <c r="V43" s="309">
        <f t="shared" si="15"/>
        <v>0</v>
      </c>
    </row>
    <row r="44" spans="1:29" ht="58.15" customHeight="1" x14ac:dyDescent="0.25">
      <c r="A44" s="239" t="s">
        <v>247</v>
      </c>
      <c r="B44" s="256" t="s">
        <v>305</v>
      </c>
      <c r="C44" s="256" t="s">
        <v>219</v>
      </c>
      <c r="D44" s="305" t="s">
        <v>20</v>
      </c>
      <c r="E44" s="312">
        <f>E39+E38+E37</f>
        <v>110</v>
      </c>
      <c r="F44" s="312">
        <f>F39+F38+F37</f>
        <v>110</v>
      </c>
      <c r="G44" s="312">
        <f>G39+G38+G37</f>
        <v>109</v>
      </c>
      <c r="H44" s="312">
        <f>H39+H38+H37</f>
        <v>110</v>
      </c>
      <c r="I44" s="312">
        <f>I39+I38+I37</f>
        <v>110</v>
      </c>
      <c r="J44" s="309"/>
      <c r="K44" s="309"/>
      <c r="L44" s="323">
        <v>16842</v>
      </c>
      <c r="M44" s="309">
        <f t="shared" si="7"/>
        <v>16842</v>
      </c>
      <c r="N44" s="312">
        <f>G44*J44</f>
        <v>0</v>
      </c>
      <c r="O44" s="309">
        <f>G44*K44</f>
        <v>0</v>
      </c>
      <c r="P44" s="312"/>
      <c r="Q44" s="323">
        <f>G44*L44</f>
        <v>1835778</v>
      </c>
      <c r="R44" s="323"/>
      <c r="S44" s="323"/>
      <c r="T44" s="309">
        <f>SUM(N44:Q44)</f>
        <v>1835778</v>
      </c>
      <c r="U44" s="309">
        <f>T44</f>
        <v>1835778</v>
      </c>
      <c r="V44" s="309">
        <f t="shared" si="15"/>
        <v>1835778</v>
      </c>
    </row>
    <row r="45" spans="1:29" x14ac:dyDescent="0.25">
      <c r="A45" s="256"/>
      <c r="B45" s="256" t="s">
        <v>305</v>
      </c>
      <c r="C45" s="256" t="s">
        <v>220</v>
      </c>
      <c r="D45" s="305"/>
      <c r="E45" s="312"/>
      <c r="F45" s="312"/>
      <c r="G45" s="312">
        <v>110</v>
      </c>
      <c r="H45" s="312">
        <v>110</v>
      </c>
      <c r="I45" s="312">
        <v>110</v>
      </c>
      <c r="J45" s="309"/>
      <c r="K45" s="309"/>
      <c r="L45" s="323">
        <v>21348</v>
      </c>
      <c r="M45" s="309">
        <f t="shared" si="7"/>
        <v>21348</v>
      </c>
      <c r="N45" s="312"/>
      <c r="O45" s="309"/>
      <c r="P45" s="312"/>
      <c r="Q45" s="323"/>
      <c r="R45" s="323"/>
      <c r="S45" s="323">
        <f>G45*L45</f>
        <v>2348280</v>
      </c>
      <c r="T45" s="309">
        <f>S45</f>
        <v>2348280</v>
      </c>
      <c r="U45" s="309">
        <f>S45</f>
        <v>2348280</v>
      </c>
      <c r="V45" s="309">
        <f>S45</f>
        <v>2348280</v>
      </c>
    </row>
    <row r="46" spans="1:29" ht="21.6" customHeight="1" x14ac:dyDescent="0.25">
      <c r="A46" s="314" t="s">
        <v>44</v>
      </c>
      <c r="B46" s="308"/>
      <c r="C46" s="308"/>
      <c r="D46" s="314"/>
      <c r="E46" s="315"/>
      <c r="F46" s="315"/>
      <c r="G46" s="315"/>
      <c r="H46" s="315"/>
      <c r="I46" s="315"/>
      <c r="J46" s="311"/>
      <c r="K46" s="309"/>
      <c r="L46" s="325"/>
      <c r="M46" s="309">
        <f t="shared" si="7"/>
        <v>0</v>
      </c>
      <c r="N46" s="325">
        <f>N47+N55</f>
        <v>13277296.360000001</v>
      </c>
      <c r="O46" s="325">
        <f>O47+O55</f>
        <v>2270681.16</v>
      </c>
      <c r="P46" s="325"/>
      <c r="Q46" s="325">
        <f>Q47+Q55</f>
        <v>11937885.52</v>
      </c>
      <c r="R46" s="325"/>
      <c r="S46" s="325">
        <f>S56</f>
        <v>4077468</v>
      </c>
      <c r="T46" s="325">
        <f>T47+T55+T56</f>
        <v>31563331.039999999</v>
      </c>
      <c r="U46" s="311">
        <f>U47+U55+U56</f>
        <v>31563331.039999999</v>
      </c>
      <c r="V46" s="311">
        <f>V47+V55+V56</f>
        <v>31563331.039999999</v>
      </c>
      <c r="W46" s="259">
        <v>10231531.529999999</v>
      </c>
      <c r="X46" s="247">
        <f>W46-Q46</f>
        <v>-1706353.9900000002</v>
      </c>
      <c r="Y46" s="235">
        <f>X46/G55</f>
        <v>-9124.8876470588239</v>
      </c>
      <c r="AA46" s="235">
        <v>10354392.529999999</v>
      </c>
      <c r="AB46" s="247">
        <f>AA46-Q46</f>
        <v>-1583492.9900000002</v>
      </c>
      <c r="AC46" s="235">
        <f>AB46/I55</f>
        <v>-8290.5392146596878</v>
      </c>
    </row>
    <row r="47" spans="1:29" ht="78.599999999999994" customHeight="1" x14ac:dyDescent="0.25">
      <c r="A47" s="239" t="s">
        <v>246</v>
      </c>
      <c r="B47" s="251" t="s">
        <v>76</v>
      </c>
      <c r="C47" s="251"/>
      <c r="D47" s="305"/>
      <c r="E47" s="312"/>
      <c r="F47" s="312"/>
      <c r="G47" s="312"/>
      <c r="H47" s="312"/>
      <c r="I47" s="312"/>
      <c r="J47" s="309"/>
      <c r="K47" s="309"/>
      <c r="L47" s="323"/>
      <c r="M47" s="309">
        <f t="shared" si="7"/>
        <v>0</v>
      </c>
      <c r="N47" s="309">
        <f>SUM(N48:N56)</f>
        <v>13277296.360000001</v>
      </c>
      <c r="O47" s="309">
        <f>SUM(O48:O56)</f>
        <v>2270681.16</v>
      </c>
      <c r="P47" s="312"/>
      <c r="Q47" s="323">
        <f>SUM(Q48:Q51)</f>
        <v>8788431.5199999996</v>
      </c>
      <c r="R47" s="323"/>
      <c r="S47" s="323"/>
      <c r="T47" s="309">
        <f>SUM(T48:T54)</f>
        <v>24336409.039999999</v>
      </c>
      <c r="U47" s="309">
        <f>SUM(U48:U54)</f>
        <v>24336409.039999999</v>
      </c>
      <c r="V47" s="309">
        <f>SUM(V48:V54)</f>
        <v>24336409.039999999</v>
      </c>
      <c r="W47" s="247">
        <v>29143419.530000001</v>
      </c>
      <c r="X47" s="247"/>
      <c r="AA47" s="247">
        <f>29143419.53+U56</f>
        <v>33220887.530000001</v>
      </c>
      <c r="AB47" s="247">
        <f>U46-AA47</f>
        <v>-1657556.4900000021</v>
      </c>
    </row>
    <row r="48" spans="1:29" ht="51.75" customHeight="1" x14ac:dyDescent="0.25">
      <c r="A48" s="239"/>
      <c r="B48" s="256" t="s">
        <v>266</v>
      </c>
      <c r="C48" s="417" t="s">
        <v>273</v>
      </c>
      <c r="D48" s="305" t="s">
        <v>20</v>
      </c>
      <c r="E48" s="312">
        <v>40</v>
      </c>
      <c r="F48" s="312">
        <v>40</v>
      </c>
      <c r="G48" s="312">
        <v>20</v>
      </c>
      <c r="H48" s="312">
        <v>40</v>
      </c>
      <c r="I48" s="312">
        <v>40</v>
      </c>
      <c r="J48" s="309">
        <f>45831</f>
        <v>45831</v>
      </c>
      <c r="K48" s="309">
        <f>(12142.68)</f>
        <v>12142.68</v>
      </c>
      <c r="L48" s="323">
        <v>46996.959999999999</v>
      </c>
      <c r="M48" s="309">
        <f t="shared" si="7"/>
        <v>104970.64</v>
      </c>
      <c r="N48" s="309">
        <f>G48*J48</f>
        <v>916620</v>
      </c>
      <c r="O48" s="309">
        <f>G48*K48</f>
        <v>242853.6</v>
      </c>
      <c r="P48" s="312"/>
      <c r="Q48" s="323">
        <f>G48*L48</f>
        <v>939939.2</v>
      </c>
      <c r="R48" s="323"/>
      <c r="S48" s="323"/>
      <c r="T48" s="309">
        <f>SUM(N48:Q48)</f>
        <v>2099412.7999999998</v>
      </c>
      <c r="U48" s="309">
        <f t="shared" ref="U48:V52" si="16">T48</f>
        <v>2099412.7999999998</v>
      </c>
      <c r="V48" s="309">
        <f t="shared" si="16"/>
        <v>2099412.7999999998</v>
      </c>
      <c r="X48" s="247">
        <f>W47-U46</f>
        <v>-2419911.5099999979</v>
      </c>
    </row>
    <row r="49" spans="1:28" ht="51" customHeight="1" x14ac:dyDescent="0.25">
      <c r="A49" s="256"/>
      <c r="B49" s="256" t="s">
        <v>264</v>
      </c>
      <c r="C49" s="419"/>
      <c r="D49" s="305" t="s">
        <v>20</v>
      </c>
      <c r="E49" s="312">
        <v>60</v>
      </c>
      <c r="F49" s="312">
        <v>60</v>
      </c>
      <c r="G49" s="312">
        <v>59</v>
      </c>
      <c r="H49" s="312">
        <v>60</v>
      </c>
      <c r="I49" s="312">
        <v>60</v>
      </c>
      <c r="J49" s="309">
        <v>36323.51</v>
      </c>
      <c r="K49" s="309">
        <f t="shared" ref="K49:K51" si="17">(12142.68)</f>
        <v>12142.68</v>
      </c>
      <c r="L49" s="323">
        <v>46996.959999999999</v>
      </c>
      <c r="M49" s="309">
        <f t="shared" si="7"/>
        <v>95463.15</v>
      </c>
      <c r="N49" s="309">
        <f>G49*J49</f>
        <v>2143087.0900000003</v>
      </c>
      <c r="O49" s="309">
        <f>G49*K49</f>
        <v>716418.12</v>
      </c>
      <c r="P49" s="312"/>
      <c r="Q49" s="323">
        <f>G49*L49</f>
        <v>2772820.64</v>
      </c>
      <c r="R49" s="323"/>
      <c r="S49" s="323"/>
      <c r="T49" s="309">
        <f>SUM(N49:Q49)</f>
        <v>5632325.8500000006</v>
      </c>
      <c r="U49" s="309">
        <f t="shared" si="16"/>
        <v>5632325.8500000006</v>
      </c>
      <c r="V49" s="309">
        <f t="shared" si="16"/>
        <v>5632325.8500000006</v>
      </c>
    </row>
    <row r="50" spans="1:28" ht="105" x14ac:dyDescent="0.25">
      <c r="A50" s="239"/>
      <c r="B50" s="256" t="s">
        <v>287</v>
      </c>
      <c r="C50" s="239" t="s">
        <v>274</v>
      </c>
      <c r="D50" s="305" t="s">
        <v>20</v>
      </c>
      <c r="E50" s="312">
        <v>37</v>
      </c>
      <c r="F50" s="312">
        <v>37</v>
      </c>
      <c r="G50" s="312">
        <v>33</v>
      </c>
      <c r="H50" s="312">
        <v>37</v>
      </c>
      <c r="I50" s="312">
        <v>37</v>
      </c>
      <c r="J50" s="309">
        <v>151319.69</v>
      </c>
      <c r="K50" s="309">
        <f t="shared" si="17"/>
        <v>12142.68</v>
      </c>
      <c r="L50" s="323">
        <v>46996.959999999999</v>
      </c>
      <c r="M50" s="309">
        <f t="shared" si="7"/>
        <v>210459.33</v>
      </c>
      <c r="N50" s="309">
        <f>G50*J50</f>
        <v>4993549.7700000005</v>
      </c>
      <c r="O50" s="309">
        <f>G50*K50</f>
        <v>400708.44</v>
      </c>
      <c r="P50" s="312"/>
      <c r="Q50" s="323">
        <f>G50*L50</f>
        <v>1550899.68</v>
      </c>
      <c r="R50" s="323"/>
      <c r="S50" s="323"/>
      <c r="T50" s="309">
        <f>SUM(N50:Q50)</f>
        <v>6945157.8900000006</v>
      </c>
      <c r="U50" s="309">
        <f t="shared" si="16"/>
        <v>6945157.8900000006</v>
      </c>
      <c r="V50" s="309">
        <f t="shared" si="16"/>
        <v>6945157.8900000006</v>
      </c>
    </row>
    <row r="51" spans="1:28" ht="120" x14ac:dyDescent="0.25">
      <c r="A51" s="239"/>
      <c r="B51" s="256" t="s">
        <v>262</v>
      </c>
      <c r="C51" s="239" t="s">
        <v>275</v>
      </c>
      <c r="D51" s="305" t="s">
        <v>20</v>
      </c>
      <c r="E51" s="312">
        <v>54</v>
      </c>
      <c r="F51" s="312">
        <v>54</v>
      </c>
      <c r="G51" s="312">
        <v>75</v>
      </c>
      <c r="H51" s="312">
        <v>54</v>
      </c>
      <c r="I51" s="312">
        <v>54</v>
      </c>
      <c r="J51" s="313">
        <v>69653.86</v>
      </c>
      <c r="K51" s="309">
        <f t="shared" si="17"/>
        <v>12142.68</v>
      </c>
      <c r="L51" s="323">
        <v>46996.959999999999</v>
      </c>
      <c r="M51" s="309">
        <f t="shared" si="7"/>
        <v>128793.5</v>
      </c>
      <c r="N51" s="309">
        <f>G51*J51</f>
        <v>5224039.5</v>
      </c>
      <c r="O51" s="309">
        <f>G51*K51</f>
        <v>910701</v>
      </c>
      <c r="P51" s="312"/>
      <c r="Q51" s="323">
        <f>G51*L51</f>
        <v>3524772</v>
      </c>
      <c r="R51" s="323"/>
      <c r="S51" s="323"/>
      <c r="T51" s="309">
        <f>SUM(N51:Q51)</f>
        <v>9659512.5</v>
      </c>
      <c r="U51" s="309">
        <f t="shared" si="16"/>
        <v>9659512.5</v>
      </c>
      <c r="V51" s="309">
        <f t="shared" si="16"/>
        <v>9659512.5</v>
      </c>
    </row>
    <row r="52" spans="1:28" s="236" customFormat="1" hidden="1" x14ac:dyDescent="0.25">
      <c r="A52" s="305"/>
      <c r="B52" s="314"/>
      <c r="C52" s="305" t="s">
        <v>226</v>
      </c>
      <c r="D52" s="305"/>
      <c r="E52" s="312"/>
      <c r="F52" s="312"/>
      <c r="G52" s="312"/>
      <c r="H52" s="312"/>
      <c r="I52" s="312"/>
      <c r="J52" s="309"/>
      <c r="K52" s="309">
        <f t="shared" si="12"/>
        <v>25908.217039320003</v>
      </c>
      <c r="L52" s="323"/>
      <c r="M52" s="309">
        <f t="shared" si="7"/>
        <v>25908.217039320003</v>
      </c>
      <c r="N52" s="312"/>
      <c r="O52" s="309"/>
      <c r="P52" s="312"/>
      <c r="Q52" s="323"/>
      <c r="R52" s="323"/>
      <c r="S52" s="323"/>
      <c r="T52" s="309">
        <f>O52</f>
        <v>0</v>
      </c>
      <c r="U52" s="309">
        <f t="shared" si="16"/>
        <v>0</v>
      </c>
      <c r="V52" s="309">
        <f t="shared" si="16"/>
        <v>0</v>
      </c>
    </row>
    <row r="53" spans="1:28" ht="20.25" hidden="1" customHeight="1" x14ac:dyDescent="0.25">
      <c r="A53" s="239"/>
      <c r="B53" s="251"/>
      <c r="C53" s="256" t="s">
        <v>226</v>
      </c>
      <c r="D53" s="305"/>
      <c r="E53" s="312"/>
      <c r="F53" s="312"/>
      <c r="G53" s="312"/>
      <c r="H53" s="312"/>
      <c r="I53" s="312"/>
      <c r="J53" s="309"/>
      <c r="K53" s="309">
        <f t="shared" si="12"/>
        <v>25908.217039320003</v>
      </c>
      <c r="L53" s="323"/>
      <c r="M53" s="309">
        <f t="shared" si="7"/>
        <v>25908.217039320003</v>
      </c>
      <c r="N53" s="312"/>
      <c r="O53" s="309"/>
      <c r="P53" s="312"/>
      <c r="Q53" s="323"/>
      <c r="R53" s="323"/>
      <c r="S53" s="323"/>
      <c r="T53" s="309">
        <f>N53</f>
        <v>0</v>
      </c>
      <c r="U53" s="309">
        <f t="shared" ref="U53:V55" si="18">T53</f>
        <v>0</v>
      </c>
      <c r="V53" s="309">
        <f t="shared" si="18"/>
        <v>0</v>
      </c>
    </row>
    <row r="54" spans="1:28" hidden="1" x14ac:dyDescent="0.25">
      <c r="A54" s="239"/>
      <c r="B54" s="251"/>
      <c r="C54" s="256"/>
      <c r="D54" s="305"/>
      <c r="E54" s="312"/>
      <c r="F54" s="312"/>
      <c r="G54" s="312"/>
      <c r="H54" s="312"/>
      <c r="I54" s="312"/>
      <c r="J54" s="309"/>
      <c r="K54" s="309">
        <f t="shared" si="12"/>
        <v>25908.217039320003</v>
      </c>
      <c r="L54" s="323"/>
      <c r="M54" s="309">
        <f t="shared" si="7"/>
        <v>25908.217039320003</v>
      </c>
      <c r="N54" s="312"/>
      <c r="O54" s="309"/>
      <c r="P54" s="312"/>
      <c r="Q54" s="323"/>
      <c r="R54" s="323"/>
      <c r="S54" s="323"/>
      <c r="T54" s="309">
        <f>O54</f>
        <v>0</v>
      </c>
      <c r="U54" s="309">
        <f t="shared" si="18"/>
        <v>0</v>
      </c>
      <c r="V54" s="309">
        <f t="shared" si="18"/>
        <v>0</v>
      </c>
    </row>
    <row r="55" spans="1:28" ht="58.5" customHeight="1" x14ac:dyDescent="0.25">
      <c r="A55" s="239" t="s">
        <v>247</v>
      </c>
      <c r="B55" s="256" t="s">
        <v>28</v>
      </c>
      <c r="C55" s="256" t="s">
        <v>219</v>
      </c>
      <c r="D55" s="305" t="s">
        <v>20</v>
      </c>
      <c r="E55" s="312">
        <f>E51+E50+E49+E48</f>
        <v>191</v>
      </c>
      <c r="F55" s="312">
        <f>F51+F50+F49+F48</f>
        <v>191</v>
      </c>
      <c r="G55" s="312">
        <f>G51+G50+G49+G48</f>
        <v>187</v>
      </c>
      <c r="H55" s="312">
        <v>191</v>
      </c>
      <c r="I55" s="312">
        <v>191</v>
      </c>
      <c r="J55" s="309"/>
      <c r="K55" s="309"/>
      <c r="L55" s="323">
        <v>16842</v>
      </c>
      <c r="M55" s="309">
        <f t="shared" si="7"/>
        <v>16842</v>
      </c>
      <c r="N55" s="312">
        <f>G55*J55</f>
        <v>0</v>
      </c>
      <c r="O55" s="309">
        <f>G55*K55</f>
        <v>0</v>
      </c>
      <c r="P55" s="312"/>
      <c r="Q55" s="323">
        <f>G55*L55</f>
        <v>3149454</v>
      </c>
      <c r="R55" s="323"/>
      <c r="S55" s="323"/>
      <c r="T55" s="309">
        <f>SUM(N55:Q55)</f>
        <v>3149454</v>
      </c>
      <c r="U55" s="309">
        <f t="shared" si="18"/>
        <v>3149454</v>
      </c>
      <c r="V55" s="309">
        <f t="shared" si="18"/>
        <v>3149454</v>
      </c>
    </row>
    <row r="56" spans="1:28" ht="18.600000000000001" customHeight="1" x14ac:dyDescent="0.25">
      <c r="A56" s="256"/>
      <c r="B56" s="256" t="s">
        <v>28</v>
      </c>
      <c r="C56" s="256" t="s">
        <v>220</v>
      </c>
      <c r="D56" s="305"/>
      <c r="E56" s="312"/>
      <c r="F56" s="312"/>
      <c r="G56" s="312">
        <v>191</v>
      </c>
      <c r="H56" s="312">
        <v>191</v>
      </c>
      <c r="I56" s="312">
        <v>191</v>
      </c>
      <c r="J56" s="309"/>
      <c r="K56" s="309"/>
      <c r="L56" s="323">
        <v>21348</v>
      </c>
      <c r="M56" s="309">
        <f t="shared" si="7"/>
        <v>21348</v>
      </c>
      <c r="N56" s="312"/>
      <c r="O56" s="309"/>
      <c r="P56" s="312"/>
      <c r="Q56" s="323"/>
      <c r="R56" s="323"/>
      <c r="S56" s="323">
        <f>G56*L56</f>
        <v>4077468</v>
      </c>
      <c r="T56" s="309">
        <f>S56</f>
        <v>4077468</v>
      </c>
      <c r="U56" s="309">
        <f>S56</f>
        <v>4077468</v>
      </c>
      <c r="V56" s="309">
        <f>S56</f>
        <v>4077468</v>
      </c>
    </row>
    <row r="57" spans="1:28" ht="24" customHeight="1" x14ac:dyDescent="0.25">
      <c r="A57" s="308" t="s">
        <v>49</v>
      </c>
      <c r="B57" s="308"/>
      <c r="C57" s="308"/>
      <c r="D57" s="314"/>
      <c r="E57" s="315"/>
      <c r="F57" s="315"/>
      <c r="G57" s="315"/>
      <c r="H57" s="315"/>
      <c r="I57" s="315"/>
      <c r="J57" s="311"/>
      <c r="K57" s="309"/>
      <c r="L57" s="325"/>
      <c r="M57" s="309">
        <f t="shared" si="7"/>
        <v>0</v>
      </c>
      <c r="N57" s="325">
        <f>N58+N64</f>
        <v>6194948.4707433209</v>
      </c>
      <c r="O57" s="325">
        <f>O58+O64</f>
        <v>1274981.3999999999</v>
      </c>
      <c r="P57" s="330">
        <f>P58</f>
        <v>0</v>
      </c>
      <c r="Q57" s="325">
        <f>Q58+Q64</f>
        <v>6703090.7999999998</v>
      </c>
      <c r="R57" s="325">
        <f>R58</f>
        <v>0</v>
      </c>
      <c r="S57" s="325">
        <f>S65</f>
        <v>2241540</v>
      </c>
      <c r="T57" s="325">
        <f>T58+T64+T65</f>
        <v>16414560.67074332</v>
      </c>
      <c r="U57" s="325">
        <f t="shared" ref="U57:V57" si="19">U58+U64+U65</f>
        <v>16414560.67074332</v>
      </c>
      <c r="V57" s="325">
        <f t="shared" si="19"/>
        <v>16414560.67074332</v>
      </c>
      <c r="W57" s="235">
        <v>5581141.5300000003</v>
      </c>
      <c r="X57" s="247">
        <f>W57-Q57</f>
        <v>-1121949.2699999996</v>
      </c>
      <c r="Y57" s="235">
        <f>X57/G64</f>
        <v>-10685.231142857139</v>
      </c>
      <c r="AA57" s="235">
        <v>5552393.5300000003</v>
      </c>
      <c r="AB57" s="247">
        <f>AA57-Q57</f>
        <v>-1150697.2699999996</v>
      </c>
    </row>
    <row r="58" spans="1:28" ht="81" customHeight="1" x14ac:dyDescent="0.25">
      <c r="A58" s="239" t="s">
        <v>246</v>
      </c>
      <c r="B58" s="251" t="s">
        <v>76</v>
      </c>
      <c r="C58" s="251"/>
      <c r="D58" s="305"/>
      <c r="E58" s="312"/>
      <c r="F58" s="312"/>
      <c r="G58" s="312"/>
      <c r="H58" s="312"/>
      <c r="I58" s="312"/>
      <c r="J58" s="309"/>
      <c r="K58" s="309"/>
      <c r="L58" s="323"/>
      <c r="M58" s="309">
        <f t="shared" si="7"/>
        <v>0</v>
      </c>
      <c r="N58" s="309">
        <f>SUM(N59:N65)</f>
        <v>6194948.4707433209</v>
      </c>
      <c r="O58" s="309">
        <f>SUM(O59:O65)</f>
        <v>1274981.3999999999</v>
      </c>
      <c r="P58" s="316"/>
      <c r="Q58" s="323">
        <f>SUM(Q59:Q61)</f>
        <v>4934680.8</v>
      </c>
      <c r="R58" s="323"/>
      <c r="S58" s="323"/>
      <c r="T58" s="309">
        <f>SUM(T59:T63)</f>
        <v>12404610.67074332</v>
      </c>
      <c r="U58" s="309">
        <f>SUM(U59:U63)</f>
        <v>12404610.67074332</v>
      </c>
      <c r="V58" s="309">
        <f>SUM(V59:V63)</f>
        <v>12404610.67074332</v>
      </c>
      <c r="W58" s="247">
        <v>14544322.529999999</v>
      </c>
      <c r="AA58" s="247">
        <f>14544322.53+U65</f>
        <v>16785862.530000001</v>
      </c>
      <c r="AB58" s="247">
        <f>U57-AA58</f>
        <v>-371301.85925668105</v>
      </c>
    </row>
    <row r="59" spans="1:28" ht="51" customHeight="1" x14ac:dyDescent="0.25">
      <c r="A59" s="239"/>
      <c r="B59" s="256" t="s">
        <v>276</v>
      </c>
      <c r="C59" s="417" t="s">
        <v>273</v>
      </c>
      <c r="D59" s="305" t="s">
        <v>20</v>
      </c>
      <c r="E59" s="312">
        <v>21</v>
      </c>
      <c r="F59" s="312">
        <v>21</v>
      </c>
      <c r="G59" s="312">
        <v>18</v>
      </c>
      <c r="H59" s="312">
        <v>21</v>
      </c>
      <c r="I59" s="312">
        <v>21</v>
      </c>
      <c r="J59" s="309">
        <f>45831*1.00162363017</f>
        <v>45905.412594321264</v>
      </c>
      <c r="K59" s="309">
        <f>(12142.68)</f>
        <v>12142.68</v>
      </c>
      <c r="L59" s="323">
        <v>46996.959999999999</v>
      </c>
      <c r="M59" s="309">
        <f t="shared" si="7"/>
        <v>105045.05259432126</v>
      </c>
      <c r="N59" s="309">
        <f>G59*J59</f>
        <v>826297.42669778271</v>
      </c>
      <c r="O59" s="309">
        <f>G59*K59</f>
        <v>218568.24</v>
      </c>
      <c r="P59" s="312"/>
      <c r="Q59" s="323">
        <f>G59*L59</f>
        <v>845945.28</v>
      </c>
      <c r="R59" s="323"/>
      <c r="S59" s="323"/>
      <c r="T59" s="309">
        <f>SUM(N59:Q59)</f>
        <v>1890810.9466977827</v>
      </c>
      <c r="U59" s="309">
        <f t="shared" ref="U59:V61" si="20">T59</f>
        <v>1890810.9466977827</v>
      </c>
      <c r="V59" s="309">
        <f t="shared" si="20"/>
        <v>1890810.9466977827</v>
      </c>
      <c r="X59" s="247">
        <f>W58-U57</f>
        <v>-1870238.1407433208</v>
      </c>
    </row>
    <row r="60" spans="1:28" ht="50.45" customHeight="1" x14ac:dyDescent="0.25">
      <c r="A60" s="256"/>
      <c r="B60" s="256" t="s">
        <v>262</v>
      </c>
      <c r="C60" s="419"/>
      <c r="D60" s="305" t="s">
        <v>20</v>
      </c>
      <c r="E60" s="312">
        <v>18</v>
      </c>
      <c r="F60" s="312">
        <v>18</v>
      </c>
      <c r="G60" s="312">
        <v>21</v>
      </c>
      <c r="H60" s="312">
        <v>18</v>
      </c>
      <c r="I60" s="312">
        <v>18</v>
      </c>
      <c r="J60" s="309">
        <f>36323.51*1.00162363017</f>
        <v>36382.485946716297</v>
      </c>
      <c r="K60" s="309">
        <f t="shared" ref="K60:K61" si="21">(12142.68)</f>
        <v>12142.68</v>
      </c>
      <c r="L60" s="323">
        <v>46996.959999999999</v>
      </c>
      <c r="M60" s="309">
        <f t="shared" si="7"/>
        <v>95522.125946716289</v>
      </c>
      <c r="N60" s="309">
        <f>G60*J60</f>
        <v>764032.20488104224</v>
      </c>
      <c r="O60" s="309">
        <f>G60*K60</f>
        <v>254996.28</v>
      </c>
      <c r="P60" s="312"/>
      <c r="Q60" s="323">
        <f>G60*L60</f>
        <v>986936.16</v>
      </c>
      <c r="R60" s="323"/>
      <c r="S60" s="323"/>
      <c r="T60" s="309">
        <f>SUM(N60:Q60)</f>
        <v>2005964.6448810422</v>
      </c>
      <c r="U60" s="309">
        <f t="shared" si="20"/>
        <v>2005964.6448810422</v>
      </c>
      <c r="V60" s="309">
        <f t="shared" si="20"/>
        <v>2005964.6448810422</v>
      </c>
    </row>
    <row r="61" spans="1:28" ht="118.5" customHeight="1" x14ac:dyDescent="0.25">
      <c r="A61" s="256"/>
      <c r="B61" s="256" t="s">
        <v>264</v>
      </c>
      <c r="C61" s="239" t="s">
        <v>277</v>
      </c>
      <c r="D61" s="305" t="s">
        <v>20</v>
      </c>
      <c r="E61" s="312">
        <v>66</v>
      </c>
      <c r="F61" s="312">
        <v>66</v>
      </c>
      <c r="G61" s="312">
        <f>((E61*8)+(F61*4))/12</f>
        <v>66</v>
      </c>
      <c r="H61" s="312">
        <v>66</v>
      </c>
      <c r="I61" s="312">
        <v>66</v>
      </c>
      <c r="J61" s="313">
        <f>69653.86*1.00162363017</f>
        <v>69766.952108552956</v>
      </c>
      <c r="K61" s="309">
        <f t="shared" si="21"/>
        <v>12142.68</v>
      </c>
      <c r="L61" s="323">
        <v>46996.959999999999</v>
      </c>
      <c r="M61" s="309">
        <f t="shared" si="7"/>
        <v>128906.59210855296</v>
      </c>
      <c r="N61" s="309">
        <f>G61*J61</f>
        <v>4604618.8391644955</v>
      </c>
      <c r="O61" s="309">
        <f>G61*K61</f>
        <v>801416.88</v>
      </c>
      <c r="P61" s="312"/>
      <c r="Q61" s="323">
        <f>G61*L61</f>
        <v>3101799.36</v>
      </c>
      <c r="R61" s="323"/>
      <c r="S61" s="323"/>
      <c r="T61" s="309">
        <f>SUM(N61:Q61)</f>
        <v>8507835.0791644957</v>
      </c>
      <c r="U61" s="309">
        <f t="shared" si="20"/>
        <v>8507835.0791644957</v>
      </c>
      <c r="V61" s="309">
        <f t="shared" si="20"/>
        <v>8507835.0791644957</v>
      </c>
    </row>
    <row r="62" spans="1:28" ht="43.5" hidden="1" customHeight="1" x14ac:dyDescent="0.25">
      <c r="A62" s="256"/>
      <c r="B62" s="251" t="s">
        <v>253</v>
      </c>
      <c r="C62" s="256" t="s">
        <v>226</v>
      </c>
      <c r="D62" s="305"/>
      <c r="E62" s="312"/>
      <c r="F62" s="312"/>
      <c r="G62" s="312"/>
      <c r="H62" s="312"/>
      <c r="I62" s="312"/>
      <c r="J62" s="309"/>
      <c r="K62" s="309">
        <f t="shared" si="12"/>
        <v>25908.217039320003</v>
      </c>
      <c r="L62" s="323">
        <v>0</v>
      </c>
      <c r="M62" s="309">
        <v>0</v>
      </c>
      <c r="N62" s="312"/>
      <c r="O62" s="309"/>
      <c r="P62" s="312"/>
      <c r="Q62" s="323"/>
      <c r="R62" s="323"/>
      <c r="S62" s="323"/>
      <c r="T62" s="309">
        <f>N62</f>
        <v>0</v>
      </c>
      <c r="U62" s="309">
        <f t="shared" ref="U62:V64" si="22">T62</f>
        <v>0</v>
      </c>
      <c r="V62" s="309">
        <f t="shared" si="22"/>
        <v>0</v>
      </c>
    </row>
    <row r="63" spans="1:28" hidden="1" x14ac:dyDescent="0.25">
      <c r="A63" s="256"/>
      <c r="B63" s="251" t="s">
        <v>256</v>
      </c>
      <c r="C63" s="256"/>
      <c r="D63" s="305"/>
      <c r="E63" s="312"/>
      <c r="F63" s="312"/>
      <c r="G63" s="312"/>
      <c r="H63" s="312"/>
      <c r="I63" s="312"/>
      <c r="J63" s="309"/>
      <c r="K63" s="309">
        <f t="shared" si="12"/>
        <v>25908.217039320003</v>
      </c>
      <c r="L63" s="323">
        <v>0</v>
      </c>
      <c r="M63" s="309">
        <v>0</v>
      </c>
      <c r="N63" s="312"/>
      <c r="O63" s="309"/>
      <c r="P63" s="312"/>
      <c r="Q63" s="323"/>
      <c r="R63" s="323"/>
      <c r="S63" s="323"/>
      <c r="T63" s="309">
        <f>O63</f>
        <v>0</v>
      </c>
      <c r="U63" s="309">
        <f t="shared" si="22"/>
        <v>0</v>
      </c>
      <c r="V63" s="309">
        <f t="shared" si="22"/>
        <v>0</v>
      </c>
    </row>
    <row r="64" spans="1:28" ht="61.5" customHeight="1" x14ac:dyDescent="0.25">
      <c r="A64" s="239" t="s">
        <v>247</v>
      </c>
      <c r="B64" s="256" t="s">
        <v>28</v>
      </c>
      <c r="C64" s="256" t="s">
        <v>219</v>
      </c>
      <c r="D64" s="305" t="s">
        <v>20</v>
      </c>
      <c r="E64" s="312">
        <f>E59+E60+E61</f>
        <v>105</v>
      </c>
      <c r="F64" s="312">
        <f>F59+F60+F61</f>
        <v>105</v>
      </c>
      <c r="G64" s="312">
        <f>G59+G60+G61</f>
        <v>105</v>
      </c>
      <c r="H64" s="312">
        <v>105</v>
      </c>
      <c r="I64" s="312">
        <v>105</v>
      </c>
      <c r="J64" s="309"/>
      <c r="K64" s="309"/>
      <c r="L64" s="323">
        <v>16842</v>
      </c>
      <c r="M64" s="309">
        <f t="shared" si="7"/>
        <v>16842</v>
      </c>
      <c r="N64" s="309">
        <v>0</v>
      </c>
      <c r="O64" s="309"/>
      <c r="P64" s="312"/>
      <c r="Q64" s="323">
        <f>G64*L64</f>
        <v>1768410</v>
      </c>
      <c r="R64" s="323"/>
      <c r="S64" s="323"/>
      <c r="T64" s="309">
        <f>SUM(N64:Q64)</f>
        <v>1768410</v>
      </c>
      <c r="U64" s="309">
        <f>T64</f>
        <v>1768410</v>
      </c>
      <c r="V64" s="309">
        <f t="shared" si="22"/>
        <v>1768410</v>
      </c>
    </row>
    <row r="65" spans="1:29" ht="16.5" customHeight="1" x14ac:dyDescent="0.25">
      <c r="A65" s="256"/>
      <c r="B65" s="256" t="s">
        <v>28</v>
      </c>
      <c r="C65" s="256" t="s">
        <v>220</v>
      </c>
      <c r="D65" s="305"/>
      <c r="E65" s="312"/>
      <c r="F65" s="312"/>
      <c r="G65" s="312">
        <v>105</v>
      </c>
      <c r="H65" s="312">
        <v>105</v>
      </c>
      <c r="I65" s="312">
        <v>105</v>
      </c>
      <c r="J65" s="309"/>
      <c r="K65" s="309"/>
      <c r="L65" s="323">
        <v>21348</v>
      </c>
      <c r="M65" s="309">
        <f t="shared" si="7"/>
        <v>21348</v>
      </c>
      <c r="N65" s="312"/>
      <c r="O65" s="309"/>
      <c r="P65" s="312"/>
      <c r="Q65" s="323"/>
      <c r="R65" s="323"/>
      <c r="S65" s="323">
        <f>G65*L65</f>
        <v>2241540</v>
      </c>
      <c r="T65" s="309">
        <f>S65</f>
        <v>2241540</v>
      </c>
      <c r="U65" s="309">
        <f>S65</f>
        <v>2241540</v>
      </c>
      <c r="V65" s="309">
        <f>S65</f>
        <v>2241540</v>
      </c>
    </row>
    <row r="66" spans="1:29" ht="22.15" customHeight="1" x14ac:dyDescent="0.25">
      <c r="A66" s="308" t="s">
        <v>53</v>
      </c>
      <c r="B66" s="308"/>
      <c r="C66" s="308"/>
      <c r="D66" s="314"/>
      <c r="E66" s="315"/>
      <c r="F66" s="315"/>
      <c r="G66" s="315"/>
      <c r="H66" s="315"/>
      <c r="I66" s="315"/>
      <c r="J66" s="311"/>
      <c r="K66" s="309"/>
      <c r="L66" s="325"/>
      <c r="M66" s="309">
        <f t="shared" si="7"/>
        <v>0</v>
      </c>
      <c r="N66" s="325">
        <f>N67+N75</f>
        <v>10280286.060000001</v>
      </c>
      <c r="O66" s="325">
        <f>O67+O75</f>
        <v>1882115.4</v>
      </c>
      <c r="P66" s="325"/>
      <c r="Q66" s="325">
        <f>Q67+Q75</f>
        <v>9895038.8000000007</v>
      </c>
      <c r="R66" s="325"/>
      <c r="S66" s="325">
        <f>S76</f>
        <v>3287592</v>
      </c>
      <c r="T66" s="325">
        <f>T67+T75+T76</f>
        <v>25345032.260000002</v>
      </c>
      <c r="U66" s="311">
        <f>U67+U75+U76</f>
        <v>25345032.260000002</v>
      </c>
      <c r="V66" s="311">
        <f>V67+V75+V76</f>
        <v>25345032.260000002</v>
      </c>
      <c r="W66" s="235">
        <v>10602392.789999999</v>
      </c>
      <c r="X66" s="247">
        <f>W66-Q66</f>
        <v>707353.98999999836</v>
      </c>
      <c r="Y66" s="250">
        <f>X66/G75</f>
        <v>4563.5741290322476</v>
      </c>
      <c r="AA66" s="235">
        <v>11530755.789999999</v>
      </c>
      <c r="AB66" s="247">
        <f>AA66-Q66</f>
        <v>1635716.9899999984</v>
      </c>
      <c r="AC66" s="235">
        <f>AB66/I75</f>
        <v>10621.538896103886</v>
      </c>
    </row>
    <row r="67" spans="1:29" ht="76.150000000000006" customHeight="1" x14ac:dyDescent="0.25">
      <c r="A67" s="239" t="s">
        <v>246</v>
      </c>
      <c r="B67" s="251" t="s">
        <v>76</v>
      </c>
      <c r="C67" s="251"/>
      <c r="D67" s="305"/>
      <c r="E67" s="312"/>
      <c r="F67" s="312"/>
      <c r="G67" s="312"/>
      <c r="H67" s="312"/>
      <c r="I67" s="312"/>
      <c r="J67" s="309"/>
      <c r="K67" s="309"/>
      <c r="L67" s="323"/>
      <c r="M67" s="309">
        <f t="shared" si="7"/>
        <v>0</v>
      </c>
      <c r="N67" s="309">
        <f>SUM(N68:N76)</f>
        <v>10280286.060000001</v>
      </c>
      <c r="O67" s="309">
        <f>SUM(O68:O76)</f>
        <v>1882115.4</v>
      </c>
      <c r="P67" s="312"/>
      <c r="Q67" s="323">
        <f>SUM(Q68:Q70)</f>
        <v>7284528.7999999998</v>
      </c>
      <c r="R67" s="323"/>
      <c r="S67" s="323"/>
      <c r="T67" s="309">
        <f>SUM(T68:T74)</f>
        <v>19446930.260000002</v>
      </c>
      <c r="U67" s="309">
        <f>SUM(U68:U74)</f>
        <v>19446930.260000002</v>
      </c>
      <c r="V67" s="309">
        <f>SUM(V68:V74)</f>
        <v>19446930.260000002</v>
      </c>
      <c r="W67" s="247">
        <v>23072309.280000001</v>
      </c>
      <c r="AA67" s="247">
        <f>23072309.28+U76</f>
        <v>26359901.280000001</v>
      </c>
      <c r="AB67" s="247">
        <f>U66-AA67</f>
        <v>-1014869.0199999996</v>
      </c>
    </row>
    <row r="68" spans="1:29" ht="46.9" customHeight="1" x14ac:dyDescent="0.25">
      <c r="A68" s="239"/>
      <c r="B68" s="256" t="s">
        <v>266</v>
      </c>
      <c r="C68" s="417" t="s">
        <v>273</v>
      </c>
      <c r="D68" s="305" t="s">
        <v>20</v>
      </c>
      <c r="E68" s="312">
        <v>40</v>
      </c>
      <c r="F68" s="312">
        <v>40</v>
      </c>
      <c r="G68" s="312">
        <v>33</v>
      </c>
      <c r="H68" s="312">
        <v>40</v>
      </c>
      <c r="I68" s="312">
        <v>40</v>
      </c>
      <c r="J68" s="309">
        <f>45831</f>
        <v>45831</v>
      </c>
      <c r="K68" s="309">
        <f>(12142.68)</f>
        <v>12142.68</v>
      </c>
      <c r="L68" s="323">
        <v>46996.959999999999</v>
      </c>
      <c r="M68" s="309">
        <f t="shared" si="7"/>
        <v>104970.64</v>
      </c>
      <c r="N68" s="309">
        <f>G68*J68</f>
        <v>1512423</v>
      </c>
      <c r="O68" s="309">
        <f>G68*K68</f>
        <v>400708.44</v>
      </c>
      <c r="P68" s="312"/>
      <c r="Q68" s="323">
        <f>G68*L68</f>
        <v>1550899.68</v>
      </c>
      <c r="R68" s="323"/>
      <c r="S68" s="323"/>
      <c r="T68" s="309">
        <f>SUM(N68:Q68)</f>
        <v>3464031.12</v>
      </c>
      <c r="U68" s="309">
        <f t="shared" ref="U68:V70" si="23">T68</f>
        <v>3464031.12</v>
      </c>
      <c r="V68" s="309">
        <f t="shared" si="23"/>
        <v>3464031.12</v>
      </c>
      <c r="X68" s="247">
        <f>W67-U66</f>
        <v>-2272722.9800000004</v>
      </c>
    </row>
    <row r="69" spans="1:29" ht="53.25" customHeight="1" x14ac:dyDescent="0.25">
      <c r="A69" s="256"/>
      <c r="B69" s="256" t="s">
        <v>264</v>
      </c>
      <c r="C69" s="419"/>
      <c r="D69" s="305" t="s">
        <v>20</v>
      </c>
      <c r="E69" s="312">
        <v>34</v>
      </c>
      <c r="F69" s="312">
        <v>34</v>
      </c>
      <c r="G69" s="312"/>
      <c r="H69" s="312">
        <v>34</v>
      </c>
      <c r="I69" s="312">
        <v>34</v>
      </c>
      <c r="J69" s="309">
        <v>36323.51</v>
      </c>
      <c r="K69" s="309">
        <f t="shared" ref="K69:K70" si="24">(12142.68)</f>
        <v>12142.68</v>
      </c>
      <c r="L69" s="323">
        <v>46996.959999999999</v>
      </c>
      <c r="M69" s="309">
        <f t="shared" si="7"/>
        <v>95463.15</v>
      </c>
      <c r="N69" s="309">
        <f>G69*J69</f>
        <v>0</v>
      </c>
      <c r="O69" s="309">
        <f>G69*K69</f>
        <v>0</v>
      </c>
      <c r="P69" s="312"/>
      <c r="Q69" s="323">
        <f>G69*L69</f>
        <v>0</v>
      </c>
      <c r="R69" s="323"/>
      <c r="S69" s="323"/>
      <c r="T69" s="309">
        <f>SUM(N69:Q69)</f>
        <v>0</v>
      </c>
      <c r="U69" s="309">
        <f t="shared" si="23"/>
        <v>0</v>
      </c>
      <c r="V69" s="309">
        <f t="shared" si="23"/>
        <v>0</v>
      </c>
    </row>
    <row r="70" spans="1:29" ht="138.75" customHeight="1" x14ac:dyDescent="0.25">
      <c r="A70" s="256"/>
      <c r="B70" s="256" t="s">
        <v>264</v>
      </c>
      <c r="C70" s="239" t="s">
        <v>275</v>
      </c>
      <c r="D70" s="305" t="s">
        <v>20</v>
      </c>
      <c r="E70" s="312">
        <v>80</v>
      </c>
      <c r="F70" s="312">
        <v>80</v>
      </c>
      <c r="G70" s="312">
        <v>122</v>
      </c>
      <c r="H70" s="312">
        <v>80</v>
      </c>
      <c r="I70" s="312">
        <v>80</v>
      </c>
      <c r="J70" s="313">
        <v>69653.86</v>
      </c>
      <c r="K70" s="309">
        <f t="shared" si="24"/>
        <v>12142.68</v>
      </c>
      <c r="L70" s="323">
        <v>46996.959999999999</v>
      </c>
      <c r="M70" s="309">
        <f t="shared" si="7"/>
        <v>128793.5</v>
      </c>
      <c r="N70" s="309">
        <f>G70*J70</f>
        <v>8497770.9199999999</v>
      </c>
      <c r="O70" s="309">
        <f>G70*K70</f>
        <v>1481406.96</v>
      </c>
      <c r="P70" s="312"/>
      <c r="Q70" s="323">
        <f>G70*L70</f>
        <v>5733629.1200000001</v>
      </c>
      <c r="R70" s="323"/>
      <c r="S70" s="323"/>
      <c r="T70" s="309">
        <f>SUM(N70:Q70)</f>
        <v>15712807</v>
      </c>
      <c r="U70" s="309">
        <f t="shared" si="23"/>
        <v>15712807</v>
      </c>
      <c r="V70" s="309">
        <f t="shared" si="23"/>
        <v>15712807</v>
      </c>
      <c r="W70" s="247">
        <f>T70-U70</f>
        <v>0</v>
      </c>
    </row>
    <row r="71" spans="1:29" s="236" customFormat="1" ht="26.25" hidden="1" customHeight="1" x14ac:dyDescent="0.25">
      <c r="A71" s="305"/>
      <c r="B71" s="314"/>
      <c r="C71" s="305" t="s">
        <v>226</v>
      </c>
      <c r="D71" s="305"/>
      <c r="E71" s="312"/>
      <c r="F71" s="312"/>
      <c r="G71" s="312">
        <f t="shared" ref="G71:G72" si="25">((E71*8)+(F71*4))/12</f>
        <v>0</v>
      </c>
      <c r="H71" s="312"/>
      <c r="I71" s="312"/>
      <c r="J71" s="309"/>
      <c r="K71" s="309">
        <f t="shared" ref="K71:K72" si="26">(12142.68*2.691335519)</f>
        <v>32680.025979850918</v>
      </c>
      <c r="L71" s="323">
        <v>46996.959999999999</v>
      </c>
      <c r="M71" s="309">
        <v>0</v>
      </c>
      <c r="N71" s="309">
        <v>0</v>
      </c>
      <c r="O71" s="309">
        <v>0</v>
      </c>
      <c r="P71" s="312"/>
      <c r="Q71" s="323"/>
      <c r="R71" s="323"/>
      <c r="S71" s="323"/>
      <c r="T71" s="309">
        <f>O71</f>
        <v>0</v>
      </c>
      <c r="U71" s="309">
        <f t="shared" ref="U71:V75" si="27">T71</f>
        <v>0</v>
      </c>
      <c r="V71" s="309">
        <f t="shared" si="27"/>
        <v>0</v>
      </c>
    </row>
    <row r="72" spans="1:29" s="236" customFormat="1" ht="36" hidden="1" customHeight="1" x14ac:dyDescent="0.25">
      <c r="A72" s="305"/>
      <c r="B72" s="314"/>
      <c r="C72" s="305" t="s">
        <v>226</v>
      </c>
      <c r="D72" s="305"/>
      <c r="E72" s="312"/>
      <c r="F72" s="312"/>
      <c r="G72" s="312">
        <f t="shared" si="25"/>
        <v>0</v>
      </c>
      <c r="H72" s="312"/>
      <c r="I72" s="312"/>
      <c r="J72" s="309"/>
      <c r="K72" s="309">
        <f t="shared" si="26"/>
        <v>32680.025979850918</v>
      </c>
      <c r="L72" s="323">
        <v>46996.959999999999</v>
      </c>
      <c r="M72" s="309">
        <v>0</v>
      </c>
      <c r="N72" s="309">
        <v>0</v>
      </c>
      <c r="O72" s="309">
        <v>0</v>
      </c>
      <c r="P72" s="312"/>
      <c r="Q72" s="323"/>
      <c r="R72" s="323"/>
      <c r="S72" s="323"/>
      <c r="T72" s="309">
        <f>N72</f>
        <v>0</v>
      </c>
      <c r="U72" s="309">
        <f t="shared" si="27"/>
        <v>0</v>
      </c>
      <c r="V72" s="309">
        <f t="shared" si="27"/>
        <v>0</v>
      </c>
    </row>
    <row r="73" spans="1:29" ht="77.25" customHeight="1" x14ac:dyDescent="0.25">
      <c r="A73" s="256"/>
      <c r="B73" s="256" t="s">
        <v>181</v>
      </c>
      <c r="C73" s="317" t="s">
        <v>281</v>
      </c>
      <c r="D73" s="305" t="s">
        <v>20</v>
      </c>
      <c r="E73" s="312">
        <v>34</v>
      </c>
      <c r="F73" s="312">
        <v>34</v>
      </c>
      <c r="G73" s="312"/>
      <c r="H73" s="312"/>
      <c r="I73" s="312"/>
      <c r="J73" s="309">
        <v>1660.4</v>
      </c>
      <c r="K73" s="309"/>
      <c r="L73" s="323">
        <v>46996.959999999999</v>
      </c>
      <c r="M73" s="309">
        <f t="shared" si="7"/>
        <v>48657.36</v>
      </c>
      <c r="N73" s="309">
        <f>G73*J73</f>
        <v>0</v>
      </c>
      <c r="O73" s="309"/>
      <c r="P73" s="312"/>
      <c r="Q73" s="323"/>
      <c r="R73" s="323"/>
      <c r="S73" s="323"/>
      <c r="T73" s="309">
        <f>N73</f>
        <v>0</v>
      </c>
      <c r="U73" s="309">
        <f t="shared" si="27"/>
        <v>0</v>
      </c>
      <c r="V73" s="309">
        <f t="shared" si="27"/>
        <v>0</v>
      </c>
    </row>
    <row r="74" spans="1:29" ht="83.25" customHeight="1" x14ac:dyDescent="0.25">
      <c r="A74" s="256"/>
      <c r="B74" s="256" t="s">
        <v>181</v>
      </c>
      <c r="C74" s="317" t="s">
        <v>279</v>
      </c>
      <c r="D74" s="305" t="s">
        <v>20</v>
      </c>
      <c r="E74" s="312">
        <v>80</v>
      </c>
      <c r="F74" s="312">
        <v>80</v>
      </c>
      <c r="G74" s="312">
        <v>122</v>
      </c>
      <c r="H74" s="312"/>
      <c r="I74" s="312"/>
      <c r="J74" s="309">
        <v>2213.87</v>
      </c>
      <c r="K74" s="309"/>
      <c r="L74" s="323">
        <v>46996.959999999999</v>
      </c>
      <c r="M74" s="309">
        <f t="shared" si="7"/>
        <v>49210.83</v>
      </c>
      <c r="N74" s="309">
        <f>G74*J74</f>
        <v>270092.14</v>
      </c>
      <c r="O74" s="309"/>
      <c r="P74" s="312"/>
      <c r="Q74" s="323"/>
      <c r="R74" s="323"/>
      <c r="S74" s="323"/>
      <c r="T74" s="309">
        <f>N74</f>
        <v>270092.14</v>
      </c>
      <c r="U74" s="309">
        <f t="shared" si="27"/>
        <v>270092.14</v>
      </c>
      <c r="V74" s="309">
        <f t="shared" si="27"/>
        <v>270092.14</v>
      </c>
    </row>
    <row r="75" spans="1:29" ht="60" customHeight="1" x14ac:dyDescent="0.25">
      <c r="A75" s="239" t="s">
        <v>247</v>
      </c>
      <c r="B75" s="256" t="s">
        <v>305</v>
      </c>
      <c r="C75" s="256" t="s">
        <v>219</v>
      </c>
      <c r="D75" s="305" t="s">
        <v>20</v>
      </c>
      <c r="E75" s="312">
        <f>E70+E69+E68</f>
        <v>154</v>
      </c>
      <c r="F75" s="312">
        <f>F70+F69+F68</f>
        <v>154</v>
      </c>
      <c r="G75" s="312">
        <f>G70+G69+G68</f>
        <v>155</v>
      </c>
      <c r="H75" s="312">
        <f>H70+H69+H68</f>
        <v>154</v>
      </c>
      <c r="I75" s="312">
        <f>I70+I69+I68</f>
        <v>154</v>
      </c>
      <c r="J75" s="309"/>
      <c r="K75" s="309"/>
      <c r="L75" s="323">
        <v>16842</v>
      </c>
      <c r="M75" s="309">
        <f t="shared" si="7"/>
        <v>16842</v>
      </c>
      <c r="N75" s="312">
        <f>E75*J75</f>
        <v>0</v>
      </c>
      <c r="O75" s="309"/>
      <c r="P75" s="312"/>
      <c r="Q75" s="323">
        <f>G75*L75</f>
        <v>2610510</v>
      </c>
      <c r="R75" s="323"/>
      <c r="S75" s="323"/>
      <c r="T75" s="309">
        <f>SUM(N75:Q75)</f>
        <v>2610510</v>
      </c>
      <c r="U75" s="309">
        <f t="shared" si="27"/>
        <v>2610510</v>
      </c>
      <c r="V75" s="309">
        <f t="shared" si="27"/>
        <v>2610510</v>
      </c>
    </row>
    <row r="76" spans="1:29" ht="19.149999999999999" customHeight="1" x14ac:dyDescent="0.25">
      <c r="A76" s="256"/>
      <c r="B76" s="256" t="s">
        <v>305</v>
      </c>
      <c r="C76" s="256" t="s">
        <v>220</v>
      </c>
      <c r="D76" s="305"/>
      <c r="E76" s="312"/>
      <c r="F76" s="312"/>
      <c r="G76" s="312">
        <v>154</v>
      </c>
      <c r="H76" s="312">
        <v>154</v>
      </c>
      <c r="I76" s="312">
        <v>154</v>
      </c>
      <c r="J76" s="309"/>
      <c r="K76" s="309"/>
      <c r="L76" s="323">
        <v>21348</v>
      </c>
      <c r="M76" s="309">
        <f t="shared" si="7"/>
        <v>21348</v>
      </c>
      <c r="N76" s="312"/>
      <c r="O76" s="309"/>
      <c r="P76" s="312"/>
      <c r="Q76" s="323"/>
      <c r="R76" s="323"/>
      <c r="S76" s="323">
        <f>G76*L76</f>
        <v>3287592</v>
      </c>
      <c r="T76" s="309">
        <f>S76:S77</f>
        <v>3287592</v>
      </c>
      <c r="U76" s="309">
        <f>S76</f>
        <v>3287592</v>
      </c>
      <c r="V76" s="309">
        <f>S76</f>
        <v>3287592</v>
      </c>
    </row>
    <row r="77" spans="1:29" ht="24" customHeight="1" x14ac:dyDescent="0.25">
      <c r="A77" s="314" t="s">
        <v>57</v>
      </c>
      <c r="B77" s="308"/>
      <c r="C77" s="308"/>
      <c r="D77" s="314"/>
      <c r="E77" s="315"/>
      <c r="F77" s="315"/>
      <c r="G77" s="315"/>
      <c r="H77" s="315"/>
      <c r="I77" s="315"/>
      <c r="J77" s="311"/>
      <c r="K77" s="309"/>
      <c r="L77" s="325"/>
      <c r="M77" s="309">
        <f t="shared" si="7"/>
        <v>0</v>
      </c>
      <c r="N77" s="325">
        <f>N78+N86</f>
        <v>8099177.6600000011</v>
      </c>
      <c r="O77" s="325">
        <f>O78+O86</f>
        <v>1359980.1600000001</v>
      </c>
      <c r="P77" s="330"/>
      <c r="Q77" s="325">
        <f>Q78+Q86</f>
        <v>7149963.5200000005</v>
      </c>
      <c r="R77" s="325"/>
      <c r="S77" s="325">
        <f>S87</f>
        <v>2412324</v>
      </c>
      <c r="T77" s="325">
        <f>T78+T86+T87</f>
        <v>19021445.34</v>
      </c>
      <c r="U77" s="311">
        <f>U78+U86+U87</f>
        <v>19021445.34</v>
      </c>
      <c r="V77" s="311">
        <f>V78+V86+V87</f>
        <v>19021445.34</v>
      </c>
      <c r="W77" s="247">
        <v>6315385.3799999999</v>
      </c>
      <c r="X77" s="247">
        <f>W77-Q77</f>
        <v>-834578.1400000006</v>
      </c>
      <c r="Y77" s="235">
        <f>X77/G86</f>
        <v>-7451.590535714291</v>
      </c>
      <c r="AA77" s="235">
        <v>5964695.5300000003</v>
      </c>
      <c r="AB77" s="247">
        <f>AA77-Q77</f>
        <v>-1185267.9900000002</v>
      </c>
      <c r="AC77" s="235">
        <f>AB77/I86</f>
        <v>-10489.097256637169</v>
      </c>
    </row>
    <row r="78" spans="1:29" ht="76.900000000000006" customHeight="1" x14ac:dyDescent="0.25">
      <c r="A78" s="239" t="s">
        <v>246</v>
      </c>
      <c r="B78" s="251" t="s">
        <v>76</v>
      </c>
      <c r="C78" s="251"/>
      <c r="D78" s="305"/>
      <c r="E78" s="312"/>
      <c r="F78" s="312"/>
      <c r="G78" s="312"/>
      <c r="H78" s="312"/>
      <c r="I78" s="312"/>
      <c r="J78" s="309"/>
      <c r="K78" s="309"/>
      <c r="L78" s="323"/>
      <c r="M78" s="309">
        <f t="shared" si="7"/>
        <v>0</v>
      </c>
      <c r="N78" s="309">
        <f>SUM(N79:N85)</f>
        <v>8099177.6600000011</v>
      </c>
      <c r="O78" s="309">
        <f>SUM(O79:O87)</f>
        <v>1359980.1600000001</v>
      </c>
      <c r="P78" s="312"/>
      <c r="Q78" s="323">
        <f>SUM(Q79:Q83)</f>
        <v>5263659.5200000005</v>
      </c>
      <c r="R78" s="323"/>
      <c r="S78" s="323"/>
      <c r="T78" s="309">
        <f>SUM(T79:T85)</f>
        <v>14722817.34</v>
      </c>
      <c r="U78" s="309">
        <f>SUM(U79:U85)</f>
        <v>14722817.34</v>
      </c>
      <c r="V78" s="309">
        <f>SUM(V79:V85)</f>
        <v>14722817.34</v>
      </c>
      <c r="W78" s="247">
        <v>15874228.029999999</v>
      </c>
      <c r="AA78" s="247">
        <f>15874228.03+U87</f>
        <v>18286552.030000001</v>
      </c>
      <c r="AB78" s="247">
        <f>U77-AA78</f>
        <v>734893.30999999866</v>
      </c>
    </row>
    <row r="79" spans="1:29" ht="22.5" customHeight="1" x14ac:dyDescent="0.25">
      <c r="A79" s="239"/>
      <c r="B79" s="256" t="s">
        <v>266</v>
      </c>
      <c r="C79" s="417" t="s">
        <v>273</v>
      </c>
      <c r="D79" s="305" t="s">
        <v>20</v>
      </c>
      <c r="E79" s="312">
        <v>0</v>
      </c>
      <c r="F79" s="312">
        <v>0</v>
      </c>
      <c r="G79" s="312">
        <f t="shared" ref="G79" si="28">((E79*8)+(F79*4))/12</f>
        <v>0</v>
      </c>
      <c r="H79" s="312">
        <v>0</v>
      </c>
      <c r="I79" s="312">
        <v>0</v>
      </c>
      <c r="J79" s="309">
        <f>45831</f>
        <v>45831</v>
      </c>
      <c r="K79" s="309">
        <f>(12142.68)</f>
        <v>12142.68</v>
      </c>
      <c r="L79" s="323">
        <v>46996.959999999999</v>
      </c>
      <c r="M79" s="309">
        <f t="shared" si="7"/>
        <v>104970.64</v>
      </c>
      <c r="N79" s="309">
        <f t="shared" ref="N79:N86" si="29">G79*J79</f>
        <v>0</v>
      </c>
      <c r="O79" s="309">
        <f t="shared" ref="O79:O85" si="30">G79*K79</f>
        <v>0</v>
      </c>
      <c r="P79" s="312"/>
      <c r="Q79" s="323">
        <f>G79*L79</f>
        <v>0</v>
      </c>
      <c r="R79" s="323"/>
      <c r="S79" s="323"/>
      <c r="T79" s="309">
        <f>N79+O79+P79+Q79+R79</f>
        <v>0</v>
      </c>
      <c r="U79" s="309">
        <v>0</v>
      </c>
      <c r="V79" s="309">
        <f>U79</f>
        <v>0</v>
      </c>
    </row>
    <row r="80" spans="1:29" ht="24" customHeight="1" x14ac:dyDescent="0.25">
      <c r="A80" s="239"/>
      <c r="B80" s="256" t="s">
        <v>264</v>
      </c>
      <c r="C80" s="418"/>
      <c r="D80" s="305" t="s">
        <v>20</v>
      </c>
      <c r="E80" s="312">
        <v>17</v>
      </c>
      <c r="F80" s="312">
        <v>17</v>
      </c>
      <c r="G80" s="312"/>
      <c r="H80" s="312">
        <v>17</v>
      </c>
      <c r="I80" s="312">
        <v>17</v>
      </c>
      <c r="J80" s="309">
        <v>36323.51</v>
      </c>
      <c r="K80" s="309">
        <f>(12142.68)</f>
        <v>12142.68</v>
      </c>
      <c r="L80" s="323">
        <v>46996.959999999999</v>
      </c>
      <c r="M80" s="309">
        <f t="shared" si="7"/>
        <v>95463.15</v>
      </c>
      <c r="N80" s="309">
        <f t="shared" si="29"/>
        <v>0</v>
      </c>
      <c r="O80" s="309">
        <f t="shared" si="30"/>
        <v>0</v>
      </c>
      <c r="P80" s="312"/>
      <c r="Q80" s="323">
        <f>G80*L80</f>
        <v>0</v>
      </c>
      <c r="R80" s="323"/>
      <c r="S80" s="323"/>
      <c r="T80" s="309">
        <f t="shared" ref="T80:T86" si="31">SUM(N80:Q80)</f>
        <v>0</v>
      </c>
      <c r="U80" s="309">
        <f t="shared" ref="U80:U85" si="32">T80</f>
        <v>0</v>
      </c>
      <c r="V80" s="309">
        <f>U80</f>
        <v>0</v>
      </c>
      <c r="X80" s="247">
        <f>W78-U77</f>
        <v>-3147217.3100000005</v>
      </c>
    </row>
    <row r="81" spans="1:29" ht="112.9" customHeight="1" x14ac:dyDescent="0.25">
      <c r="A81" s="239"/>
      <c r="B81" s="239" t="s">
        <v>263</v>
      </c>
      <c r="C81" s="419"/>
      <c r="D81" s="305" t="s">
        <v>20</v>
      </c>
      <c r="E81" s="312">
        <v>23</v>
      </c>
      <c r="F81" s="312">
        <v>23</v>
      </c>
      <c r="G81" s="312">
        <v>17</v>
      </c>
      <c r="H81" s="312">
        <v>23</v>
      </c>
      <c r="I81" s="312">
        <v>23</v>
      </c>
      <c r="J81" s="313">
        <v>71487.61</v>
      </c>
      <c r="K81" s="309">
        <f>(12142.68)</f>
        <v>12142.68</v>
      </c>
      <c r="L81" s="323">
        <v>46996.959999999999</v>
      </c>
      <c r="M81" s="309"/>
      <c r="N81" s="309">
        <f t="shared" si="29"/>
        <v>1215289.3700000001</v>
      </c>
      <c r="O81" s="309">
        <f t="shared" si="30"/>
        <v>206425.56</v>
      </c>
      <c r="P81" s="312"/>
      <c r="Q81" s="323">
        <f>G81*L81</f>
        <v>798948.32</v>
      </c>
      <c r="R81" s="323"/>
      <c r="S81" s="323"/>
      <c r="T81" s="309">
        <f t="shared" si="31"/>
        <v>2220663.25</v>
      </c>
      <c r="U81" s="309">
        <f t="shared" si="32"/>
        <v>2220663.25</v>
      </c>
      <c r="V81" s="309">
        <f>U81</f>
        <v>2220663.25</v>
      </c>
    </row>
    <row r="82" spans="1:29" ht="120" x14ac:dyDescent="0.25">
      <c r="A82" s="239"/>
      <c r="B82" s="256" t="s">
        <v>264</v>
      </c>
      <c r="C82" s="239" t="s">
        <v>268</v>
      </c>
      <c r="D82" s="305" t="s">
        <v>20</v>
      </c>
      <c r="E82" s="318">
        <v>73</v>
      </c>
      <c r="F82" s="312">
        <v>73</v>
      </c>
      <c r="G82" s="312">
        <v>95</v>
      </c>
      <c r="H82" s="312">
        <v>73</v>
      </c>
      <c r="I82" s="312">
        <v>73</v>
      </c>
      <c r="J82" s="313">
        <v>69653.86</v>
      </c>
      <c r="K82" s="309">
        <f>(12142.68)</f>
        <v>12142.68</v>
      </c>
      <c r="L82" s="323">
        <v>46996.959999999999</v>
      </c>
      <c r="M82" s="309">
        <f t="shared" ref="M82:M120" si="33">J82+K82+L82</f>
        <v>128793.5</v>
      </c>
      <c r="N82" s="309">
        <f t="shared" si="29"/>
        <v>6617116.7000000002</v>
      </c>
      <c r="O82" s="309">
        <f t="shared" si="30"/>
        <v>1153554.6000000001</v>
      </c>
      <c r="P82" s="312"/>
      <c r="Q82" s="323">
        <f>G82*L82</f>
        <v>4464711.2</v>
      </c>
      <c r="R82" s="323"/>
      <c r="S82" s="323"/>
      <c r="T82" s="309">
        <f t="shared" si="31"/>
        <v>12235382.5</v>
      </c>
      <c r="U82" s="309">
        <f t="shared" si="32"/>
        <v>12235382.5</v>
      </c>
      <c r="V82" s="309">
        <f>U82</f>
        <v>12235382.5</v>
      </c>
    </row>
    <row r="83" spans="1:29" ht="36" customHeight="1" x14ac:dyDescent="0.25">
      <c r="A83" s="317"/>
      <c r="B83" s="256" t="s">
        <v>181</v>
      </c>
      <c r="C83" s="417" t="s">
        <v>281</v>
      </c>
      <c r="D83" s="305" t="s">
        <v>20</v>
      </c>
      <c r="E83" s="312">
        <v>17</v>
      </c>
      <c r="F83" s="312">
        <v>17</v>
      </c>
      <c r="G83" s="312"/>
      <c r="H83" s="312">
        <v>40</v>
      </c>
      <c r="I83" s="312">
        <v>40</v>
      </c>
      <c r="J83" s="313">
        <v>1660.4</v>
      </c>
      <c r="K83" s="309"/>
      <c r="L83" s="323">
        <v>46996.959999999999</v>
      </c>
      <c r="M83" s="309">
        <f t="shared" si="33"/>
        <v>48657.36</v>
      </c>
      <c r="N83" s="309">
        <f t="shared" si="29"/>
        <v>0</v>
      </c>
      <c r="O83" s="309">
        <f t="shared" si="30"/>
        <v>0</v>
      </c>
      <c r="P83" s="312"/>
      <c r="Q83" s="323"/>
      <c r="R83" s="323"/>
      <c r="S83" s="323"/>
      <c r="T83" s="309">
        <f t="shared" si="31"/>
        <v>0</v>
      </c>
      <c r="U83" s="309">
        <f t="shared" si="32"/>
        <v>0</v>
      </c>
      <c r="V83" s="309">
        <f t="shared" ref="U83:V86" si="34">U83</f>
        <v>0</v>
      </c>
    </row>
    <row r="84" spans="1:29" ht="47.25" customHeight="1" x14ac:dyDescent="0.25">
      <c r="A84" s="317"/>
      <c r="B84" s="256" t="s">
        <v>320</v>
      </c>
      <c r="C84" s="419"/>
      <c r="D84" s="305" t="s">
        <v>20</v>
      </c>
      <c r="E84" s="312">
        <v>23</v>
      </c>
      <c r="F84" s="312">
        <v>23</v>
      </c>
      <c r="G84" s="312">
        <v>17</v>
      </c>
      <c r="H84" s="312">
        <v>23</v>
      </c>
      <c r="I84" s="312">
        <v>23</v>
      </c>
      <c r="J84" s="313">
        <v>3320.82</v>
      </c>
      <c r="K84" s="309"/>
      <c r="L84" s="323">
        <v>46996.959999999999</v>
      </c>
      <c r="M84" s="309">
        <f t="shared" si="33"/>
        <v>50317.78</v>
      </c>
      <c r="N84" s="309">
        <f t="shared" si="29"/>
        <v>56453.94</v>
      </c>
      <c r="O84" s="309">
        <f t="shared" si="30"/>
        <v>0</v>
      </c>
      <c r="P84" s="312"/>
      <c r="Q84" s="323"/>
      <c r="R84" s="323"/>
      <c r="S84" s="323"/>
      <c r="T84" s="309">
        <f t="shared" si="31"/>
        <v>56453.94</v>
      </c>
      <c r="U84" s="309">
        <f t="shared" si="32"/>
        <v>56453.94</v>
      </c>
      <c r="V84" s="309">
        <f>U84</f>
        <v>56453.94</v>
      </c>
    </row>
    <row r="85" spans="1:29" ht="81" customHeight="1" x14ac:dyDescent="0.25">
      <c r="A85" s="317"/>
      <c r="B85" s="256" t="s">
        <v>181</v>
      </c>
      <c r="C85" s="317" t="s">
        <v>279</v>
      </c>
      <c r="D85" s="305" t="s">
        <v>20</v>
      </c>
      <c r="E85" s="312">
        <v>73</v>
      </c>
      <c r="F85" s="312">
        <v>73</v>
      </c>
      <c r="G85" s="312">
        <v>95</v>
      </c>
      <c r="H85" s="312">
        <v>73</v>
      </c>
      <c r="I85" s="312">
        <v>73</v>
      </c>
      <c r="J85" s="313">
        <v>2213.87</v>
      </c>
      <c r="K85" s="309"/>
      <c r="L85" s="323">
        <v>46996.959999999999</v>
      </c>
      <c r="M85" s="309">
        <f t="shared" si="33"/>
        <v>49210.83</v>
      </c>
      <c r="N85" s="309">
        <f t="shared" si="29"/>
        <v>210317.65</v>
      </c>
      <c r="O85" s="309">
        <f t="shared" si="30"/>
        <v>0</v>
      </c>
      <c r="P85" s="312"/>
      <c r="Q85" s="323"/>
      <c r="R85" s="323"/>
      <c r="S85" s="323"/>
      <c r="T85" s="309">
        <f t="shared" si="31"/>
        <v>210317.65</v>
      </c>
      <c r="U85" s="309">
        <f t="shared" si="32"/>
        <v>210317.65</v>
      </c>
      <c r="V85" s="309">
        <f t="shared" si="34"/>
        <v>210317.65</v>
      </c>
    </row>
    <row r="86" spans="1:29" ht="60" x14ac:dyDescent="0.25">
      <c r="A86" s="239" t="s">
        <v>247</v>
      </c>
      <c r="B86" s="256" t="s">
        <v>28</v>
      </c>
      <c r="C86" s="256" t="s">
        <v>219</v>
      </c>
      <c r="D86" s="305" t="s">
        <v>20</v>
      </c>
      <c r="E86" s="312">
        <f>E79+E80+E81+E82</f>
        <v>113</v>
      </c>
      <c r="F86" s="312">
        <f>F79+F80+F81+F82</f>
        <v>113</v>
      </c>
      <c r="G86" s="312">
        <f>G79+G80+G81+G82</f>
        <v>112</v>
      </c>
      <c r="H86" s="312">
        <f>H79+H80+H81+H82</f>
        <v>113</v>
      </c>
      <c r="I86" s="312">
        <f>I79+I80+I81+I82</f>
        <v>113</v>
      </c>
      <c r="J86" s="309"/>
      <c r="K86" s="309">
        <f>(12142.68)</f>
        <v>12142.68</v>
      </c>
      <c r="L86" s="323">
        <v>16842</v>
      </c>
      <c r="M86" s="309">
        <f t="shared" si="33"/>
        <v>28984.68</v>
      </c>
      <c r="N86" s="309">
        <f t="shared" si="29"/>
        <v>0</v>
      </c>
      <c r="O86" s="309">
        <v>0</v>
      </c>
      <c r="P86" s="312"/>
      <c r="Q86" s="323">
        <f>G86*L86</f>
        <v>1886304</v>
      </c>
      <c r="R86" s="323"/>
      <c r="S86" s="323"/>
      <c r="T86" s="309">
        <f t="shared" si="31"/>
        <v>1886304</v>
      </c>
      <c r="U86" s="309">
        <f t="shared" si="34"/>
        <v>1886304</v>
      </c>
      <c r="V86" s="309">
        <f t="shared" si="34"/>
        <v>1886304</v>
      </c>
    </row>
    <row r="87" spans="1:29" ht="18" customHeight="1" x14ac:dyDescent="0.25">
      <c r="A87" s="256"/>
      <c r="B87" s="256" t="s">
        <v>28</v>
      </c>
      <c r="C87" s="256" t="s">
        <v>220</v>
      </c>
      <c r="D87" s="305"/>
      <c r="E87" s="312"/>
      <c r="F87" s="312"/>
      <c r="G87" s="312">
        <v>113</v>
      </c>
      <c r="H87" s="312">
        <v>113</v>
      </c>
      <c r="I87" s="312">
        <v>113</v>
      </c>
      <c r="J87" s="309"/>
      <c r="K87" s="309">
        <f>(12142.68)</f>
        <v>12142.68</v>
      </c>
      <c r="L87" s="323">
        <v>21348</v>
      </c>
      <c r="M87" s="309">
        <f t="shared" si="33"/>
        <v>33490.68</v>
      </c>
      <c r="N87" s="312"/>
      <c r="O87" s="309"/>
      <c r="P87" s="312"/>
      <c r="Q87" s="323"/>
      <c r="R87" s="323"/>
      <c r="S87" s="323">
        <f>G87*L87</f>
        <v>2412324</v>
      </c>
      <c r="T87" s="309">
        <f>S87</f>
        <v>2412324</v>
      </c>
      <c r="U87" s="309">
        <f>S87</f>
        <v>2412324</v>
      </c>
      <c r="V87" s="309">
        <f>S87</f>
        <v>2412324</v>
      </c>
    </row>
    <row r="88" spans="1:29" ht="31.15" customHeight="1" x14ac:dyDescent="0.25">
      <c r="A88" s="308" t="s">
        <v>61</v>
      </c>
      <c r="B88" s="308"/>
      <c r="C88" s="308"/>
      <c r="D88" s="314"/>
      <c r="E88" s="315"/>
      <c r="F88" s="315"/>
      <c r="G88" s="315"/>
      <c r="H88" s="315"/>
      <c r="I88" s="315"/>
      <c r="J88" s="311"/>
      <c r="K88" s="309"/>
      <c r="L88" s="325"/>
      <c r="M88" s="309">
        <f t="shared" si="33"/>
        <v>0</v>
      </c>
      <c r="N88" s="325">
        <f>N89+N95</f>
        <v>15594953.231199138</v>
      </c>
      <c r="O88" s="325">
        <f>O89+O95</f>
        <v>2452821.3600000003</v>
      </c>
      <c r="P88" s="325"/>
      <c r="Q88" s="325">
        <f>Q89+Q95</f>
        <v>12895469.92</v>
      </c>
      <c r="R88" s="325"/>
      <c r="S88" s="325">
        <f>S96</f>
        <v>4419036</v>
      </c>
      <c r="T88" s="325">
        <f>T89+T95+T96</f>
        <v>35362280.511199132</v>
      </c>
      <c r="U88" s="311">
        <f>U89+U95+U96</f>
        <v>35362280.511199132</v>
      </c>
      <c r="V88" s="311">
        <f>V89+V95+V96</f>
        <v>35362280.511199132</v>
      </c>
      <c r="W88" s="235">
        <v>11124194.529999999</v>
      </c>
      <c r="X88" s="247">
        <f>W88-Q88</f>
        <v>-1771275.3900000006</v>
      </c>
      <c r="Y88" s="235">
        <f>X88/G95</f>
        <v>-8768.690049504954</v>
      </c>
      <c r="AA88" s="235">
        <v>11727438.529999999</v>
      </c>
      <c r="AB88" s="247">
        <f>AA88-Q88</f>
        <v>-1168031.3900000006</v>
      </c>
      <c r="AC88" s="250">
        <f>AB88/I95</f>
        <v>-5642.6637198067665</v>
      </c>
    </row>
    <row r="89" spans="1:29" ht="83.25" customHeight="1" x14ac:dyDescent="0.25">
      <c r="A89" s="239" t="s">
        <v>246</v>
      </c>
      <c r="B89" s="251" t="s">
        <v>76</v>
      </c>
      <c r="C89" s="251"/>
      <c r="D89" s="305"/>
      <c r="E89" s="312"/>
      <c r="F89" s="312"/>
      <c r="G89" s="312"/>
      <c r="H89" s="312"/>
      <c r="I89" s="312"/>
      <c r="J89" s="309"/>
      <c r="K89" s="309"/>
      <c r="L89" s="323"/>
      <c r="M89" s="309">
        <f t="shared" si="33"/>
        <v>0</v>
      </c>
      <c r="N89" s="309">
        <f>N90+N92+N94+N91+N93</f>
        <v>15594953.231199138</v>
      </c>
      <c r="O89" s="309">
        <f>SUM(O90:O96)</f>
        <v>2452821.3600000003</v>
      </c>
      <c r="P89" s="309"/>
      <c r="Q89" s="323">
        <f>SUM(Q90:Q94)</f>
        <v>9493385.9199999999</v>
      </c>
      <c r="R89" s="323"/>
      <c r="S89" s="323"/>
      <c r="T89" s="309">
        <f>SUM(T90:T94)</f>
        <v>27541160.511199135</v>
      </c>
      <c r="U89" s="309">
        <f>SUM(U90:U94)</f>
        <v>27541160.511199135</v>
      </c>
      <c r="V89" s="309">
        <f>SUM(V90:V94)</f>
        <v>27541160.511199135</v>
      </c>
      <c r="W89" s="247">
        <v>35333149.530000001</v>
      </c>
      <c r="AA89" s="247">
        <f>35333149.53+U96</f>
        <v>39752185.530000001</v>
      </c>
      <c r="AB89" s="247">
        <f>U88-AA89</f>
        <v>-4389905.0188008696</v>
      </c>
    </row>
    <row r="90" spans="1:29" ht="105" x14ac:dyDescent="0.25">
      <c r="A90" s="239"/>
      <c r="B90" s="256" t="s">
        <v>266</v>
      </c>
      <c r="C90" s="239" t="s">
        <v>273</v>
      </c>
      <c r="D90" s="305" t="s">
        <v>20</v>
      </c>
      <c r="E90" s="312">
        <v>31</v>
      </c>
      <c r="F90" s="312">
        <v>31</v>
      </c>
      <c r="G90" s="312">
        <v>24</v>
      </c>
      <c r="H90" s="312">
        <v>31</v>
      </c>
      <c r="I90" s="312">
        <v>31</v>
      </c>
      <c r="J90" s="309">
        <f>45831*1.00557915956</f>
        <v>46086.698461794367</v>
      </c>
      <c r="K90" s="309">
        <f>(12142.68)</f>
        <v>12142.68</v>
      </c>
      <c r="L90" s="323">
        <v>46996.959999999999</v>
      </c>
      <c r="M90" s="309">
        <f t="shared" si="33"/>
        <v>105226.33846179437</v>
      </c>
      <c r="N90" s="309">
        <f>G90*J90</f>
        <v>1106080.7630830649</v>
      </c>
      <c r="O90" s="309">
        <f>G90*K90</f>
        <v>291424.32</v>
      </c>
      <c r="P90" s="309"/>
      <c r="Q90" s="323">
        <f>G90*L90</f>
        <v>1127927.04</v>
      </c>
      <c r="R90" s="323"/>
      <c r="S90" s="323"/>
      <c r="T90" s="309">
        <f>SUM(N90:Q90)</f>
        <v>2525432.1230830653</v>
      </c>
      <c r="U90" s="309">
        <f t="shared" ref="U90:U95" si="35">T90</f>
        <v>2525432.1230830653</v>
      </c>
      <c r="V90" s="309">
        <f t="shared" ref="V90:V95" si="36">U90</f>
        <v>2525432.1230830653</v>
      </c>
      <c r="X90" s="247">
        <f>W89-U88</f>
        <v>-29130.981199130416</v>
      </c>
      <c r="AA90" s="247"/>
    </row>
    <row r="91" spans="1:29" ht="165" x14ac:dyDescent="0.25">
      <c r="A91" s="256"/>
      <c r="B91" s="256" t="s">
        <v>342</v>
      </c>
      <c r="C91" s="239" t="s">
        <v>278</v>
      </c>
      <c r="D91" s="305" t="s">
        <v>20</v>
      </c>
      <c r="E91" s="312">
        <v>10</v>
      </c>
      <c r="F91" s="312">
        <v>10</v>
      </c>
      <c r="G91" s="312">
        <v>9</v>
      </c>
      <c r="H91" s="312">
        <v>10</v>
      </c>
      <c r="I91" s="312">
        <v>10</v>
      </c>
      <c r="J91" s="309">
        <f>244789.02*1.00557915956</f>
        <v>246154.73700111604</v>
      </c>
      <c r="K91" s="309">
        <f>(12142.68)</f>
        <v>12142.68</v>
      </c>
      <c r="L91" s="323">
        <v>46996.959999999999</v>
      </c>
      <c r="M91" s="309">
        <f t="shared" si="33"/>
        <v>305294.37700111605</v>
      </c>
      <c r="N91" s="309">
        <f>G91*J91</f>
        <v>2215392.6330100442</v>
      </c>
      <c r="O91" s="309">
        <f>G91*K91</f>
        <v>109284.12</v>
      </c>
      <c r="P91" s="309"/>
      <c r="Q91" s="323">
        <f>G91*L91</f>
        <v>422972.64</v>
      </c>
      <c r="R91" s="323"/>
      <c r="S91" s="323"/>
      <c r="T91" s="309">
        <f>SUM(N91:Q91)</f>
        <v>2747649.3930100445</v>
      </c>
      <c r="U91" s="309">
        <f t="shared" si="35"/>
        <v>2747649.3930100445</v>
      </c>
      <c r="V91" s="309">
        <f t="shared" si="36"/>
        <v>2747649.3930100445</v>
      </c>
    </row>
    <row r="92" spans="1:29" ht="120" x14ac:dyDescent="0.25">
      <c r="A92" s="256"/>
      <c r="B92" s="256" t="s">
        <v>264</v>
      </c>
      <c r="C92" s="239" t="s">
        <v>275</v>
      </c>
      <c r="D92" s="305" t="s">
        <v>20</v>
      </c>
      <c r="E92" s="312">
        <v>166</v>
      </c>
      <c r="F92" s="312">
        <v>166</v>
      </c>
      <c r="G92" s="312">
        <v>169</v>
      </c>
      <c r="H92" s="312">
        <v>166</v>
      </c>
      <c r="I92" s="312">
        <v>166</v>
      </c>
      <c r="J92" s="313">
        <f>69653.86*1.00557915956</f>
        <v>70042.469998909903</v>
      </c>
      <c r="K92" s="309">
        <f>(12142.68)</f>
        <v>12142.68</v>
      </c>
      <c r="L92" s="323">
        <v>46996.959999999999</v>
      </c>
      <c r="M92" s="309">
        <f t="shared" si="33"/>
        <v>129182.1099989099</v>
      </c>
      <c r="N92" s="309">
        <f>G92*J92</f>
        <v>11837177.429815773</v>
      </c>
      <c r="O92" s="309"/>
      <c r="P92" s="309"/>
      <c r="Q92" s="323">
        <f>G92*L92</f>
        <v>7942486.2400000002</v>
      </c>
      <c r="R92" s="323"/>
      <c r="S92" s="323"/>
      <c r="T92" s="309">
        <f>SUM(N92:Q92)</f>
        <v>19779663.669815771</v>
      </c>
      <c r="U92" s="309">
        <f t="shared" si="35"/>
        <v>19779663.669815771</v>
      </c>
      <c r="V92" s="309">
        <f t="shared" si="36"/>
        <v>19779663.669815771</v>
      </c>
    </row>
    <row r="93" spans="1:29" ht="75" x14ac:dyDescent="0.25">
      <c r="A93" s="256"/>
      <c r="B93" s="256" t="s">
        <v>264</v>
      </c>
      <c r="C93" s="239" t="s">
        <v>321</v>
      </c>
      <c r="D93" s="305" t="s">
        <v>20</v>
      </c>
      <c r="E93" s="312">
        <v>10</v>
      </c>
      <c r="F93" s="312">
        <v>10</v>
      </c>
      <c r="G93" s="312">
        <v>9</v>
      </c>
      <c r="H93" s="312">
        <v>10</v>
      </c>
      <c r="I93" s="312">
        <v>10</v>
      </c>
      <c r="J93" s="313">
        <f>6637.52*1.00557915956</f>
        <v>6674.5517831626921</v>
      </c>
      <c r="K93" s="309">
        <f t="shared" ref="K93:K94" si="37">(12142.68)</f>
        <v>12142.68</v>
      </c>
      <c r="L93" s="323"/>
      <c r="M93" s="309"/>
      <c r="N93" s="309">
        <f>G93*J93</f>
        <v>60070.96604846423</v>
      </c>
      <c r="O93" s="309"/>
      <c r="P93" s="309"/>
      <c r="Q93" s="323"/>
      <c r="R93" s="323"/>
      <c r="S93" s="323"/>
      <c r="T93" s="309">
        <f>SUM(N93:Q93)</f>
        <v>60070.96604846423</v>
      </c>
      <c r="U93" s="309">
        <f t="shared" si="35"/>
        <v>60070.96604846423</v>
      </c>
      <c r="V93" s="309">
        <f t="shared" si="36"/>
        <v>60070.96604846423</v>
      </c>
    </row>
    <row r="94" spans="1:29" ht="75" x14ac:dyDescent="0.25">
      <c r="A94" s="239"/>
      <c r="B94" s="256" t="s">
        <v>280</v>
      </c>
      <c r="C94" s="239" t="s">
        <v>279</v>
      </c>
      <c r="D94" s="305" t="s">
        <v>20</v>
      </c>
      <c r="E94" s="312">
        <v>166</v>
      </c>
      <c r="F94" s="312">
        <v>166</v>
      </c>
      <c r="G94" s="312">
        <v>169</v>
      </c>
      <c r="H94" s="312">
        <v>166</v>
      </c>
      <c r="I94" s="312">
        <v>166</v>
      </c>
      <c r="J94" s="309">
        <f>2213.87*1.00557915956</f>
        <v>2226.2215339750974</v>
      </c>
      <c r="K94" s="309">
        <f t="shared" si="37"/>
        <v>12142.68</v>
      </c>
      <c r="L94" s="323">
        <v>46996.959999999999</v>
      </c>
      <c r="M94" s="309">
        <f t="shared" si="33"/>
        <v>61365.861533975098</v>
      </c>
      <c r="N94" s="309">
        <f>G94*J94</f>
        <v>376231.43924179144</v>
      </c>
      <c r="O94" s="309">
        <f>G94*K94</f>
        <v>2052112.9200000002</v>
      </c>
      <c r="P94" s="309"/>
      <c r="Q94" s="323"/>
      <c r="R94" s="323"/>
      <c r="S94" s="323"/>
      <c r="T94" s="309">
        <f>SUM(N94:Q94)</f>
        <v>2428344.3592417915</v>
      </c>
      <c r="U94" s="309">
        <f t="shared" si="35"/>
        <v>2428344.3592417915</v>
      </c>
      <c r="V94" s="309">
        <f t="shared" si="36"/>
        <v>2428344.3592417915</v>
      </c>
    </row>
    <row r="95" spans="1:29" ht="61.5" customHeight="1" x14ac:dyDescent="0.25">
      <c r="A95" s="239" t="s">
        <v>247</v>
      </c>
      <c r="B95" s="256" t="s">
        <v>28</v>
      </c>
      <c r="C95" s="256" t="s">
        <v>219</v>
      </c>
      <c r="D95" s="305" t="s">
        <v>20</v>
      </c>
      <c r="E95" s="312">
        <f>E90+E91+E92</f>
        <v>207</v>
      </c>
      <c r="F95" s="312">
        <f>F90+F91+F92</f>
        <v>207</v>
      </c>
      <c r="G95" s="312">
        <f>G90+G91+G92</f>
        <v>202</v>
      </c>
      <c r="H95" s="312">
        <f>H92+H91+H90</f>
        <v>207</v>
      </c>
      <c r="I95" s="312">
        <f>I92+I91+I90</f>
        <v>207</v>
      </c>
      <c r="J95" s="309"/>
      <c r="K95" s="309"/>
      <c r="L95" s="323">
        <v>16842</v>
      </c>
      <c r="M95" s="309">
        <f t="shared" si="33"/>
        <v>16842</v>
      </c>
      <c r="N95" s="312">
        <v>0</v>
      </c>
      <c r="O95" s="309">
        <f>G95*K95</f>
        <v>0</v>
      </c>
      <c r="P95" s="312"/>
      <c r="Q95" s="323">
        <f>G95*L95</f>
        <v>3402084</v>
      </c>
      <c r="R95" s="323"/>
      <c r="S95" s="323"/>
      <c r="T95" s="309">
        <f>Q95</f>
        <v>3402084</v>
      </c>
      <c r="U95" s="309">
        <f t="shared" si="35"/>
        <v>3402084</v>
      </c>
      <c r="V95" s="309">
        <f t="shared" si="36"/>
        <v>3402084</v>
      </c>
    </row>
    <row r="96" spans="1:29" ht="17.45" customHeight="1" x14ac:dyDescent="0.25">
      <c r="A96" s="256"/>
      <c r="B96" s="256" t="s">
        <v>28</v>
      </c>
      <c r="C96" s="256" t="s">
        <v>220</v>
      </c>
      <c r="D96" s="305"/>
      <c r="E96" s="312"/>
      <c r="F96" s="312"/>
      <c r="G96" s="312">
        <v>207</v>
      </c>
      <c r="H96" s="312">
        <v>207</v>
      </c>
      <c r="I96" s="312">
        <v>207</v>
      </c>
      <c r="J96" s="309"/>
      <c r="K96" s="309"/>
      <c r="L96" s="323">
        <v>21348</v>
      </c>
      <c r="M96" s="309">
        <f t="shared" si="33"/>
        <v>21348</v>
      </c>
      <c r="N96" s="312"/>
      <c r="O96" s="309"/>
      <c r="P96" s="312"/>
      <c r="Q96" s="323"/>
      <c r="R96" s="323"/>
      <c r="S96" s="323">
        <f>G96*L96</f>
        <v>4419036</v>
      </c>
      <c r="T96" s="309">
        <f>S96</f>
        <v>4419036</v>
      </c>
      <c r="U96" s="309">
        <f>S96</f>
        <v>4419036</v>
      </c>
      <c r="V96" s="309">
        <f>S96</f>
        <v>4419036</v>
      </c>
    </row>
    <row r="97" spans="1:29" ht="20.45" customHeight="1" x14ac:dyDescent="0.25">
      <c r="A97" s="308" t="s">
        <v>65</v>
      </c>
      <c r="B97" s="308"/>
      <c r="C97" s="308"/>
      <c r="D97" s="314"/>
      <c r="E97" s="315"/>
      <c r="F97" s="315"/>
      <c r="G97" s="315"/>
      <c r="H97" s="315"/>
      <c r="I97" s="315"/>
      <c r="J97" s="311"/>
      <c r="K97" s="309"/>
      <c r="L97" s="325"/>
      <c r="M97" s="309">
        <f t="shared" si="33"/>
        <v>0</v>
      </c>
      <c r="N97" s="325">
        <f>N98+N101</f>
        <v>8573100.4400000013</v>
      </c>
      <c r="O97" s="325">
        <f>O98+O101</f>
        <v>1614976.44</v>
      </c>
      <c r="P97" s="325"/>
      <c r="Q97" s="325">
        <f>Q98+Q101</f>
        <v>8490581.6799999997</v>
      </c>
      <c r="R97" s="325"/>
      <c r="S97" s="325">
        <f>S102</f>
        <v>2903328</v>
      </c>
      <c r="T97" s="325">
        <f>T98+T101+T102</f>
        <v>21581986.560000002</v>
      </c>
      <c r="U97" s="311">
        <f>U98+U101+U102</f>
        <v>21581986.560000002</v>
      </c>
      <c r="V97" s="311">
        <f>V98+V101+V102</f>
        <v>21581986.560000002</v>
      </c>
      <c r="W97" s="235">
        <v>6916925.5300000003</v>
      </c>
      <c r="X97" s="247">
        <f>W97-Q97</f>
        <v>-1573656.1499999994</v>
      </c>
      <c r="Y97" s="235">
        <f>X97/G101</f>
        <v>-11832.001127819545</v>
      </c>
      <c r="AA97" s="235">
        <v>6466219.5300000003</v>
      </c>
      <c r="AB97" s="247">
        <f>AA97-Q97</f>
        <v>-2024362.1499999994</v>
      </c>
      <c r="AC97" s="235">
        <f>AB97/I101</f>
        <v>-14885.015808823526</v>
      </c>
    </row>
    <row r="98" spans="1:29" ht="85.5" customHeight="1" x14ac:dyDescent="0.25">
      <c r="A98" s="239" t="s">
        <v>246</v>
      </c>
      <c r="B98" s="251" t="s">
        <v>76</v>
      </c>
      <c r="C98" s="251"/>
      <c r="D98" s="305"/>
      <c r="E98" s="312"/>
      <c r="F98" s="312"/>
      <c r="G98" s="312"/>
      <c r="H98" s="312"/>
      <c r="I98" s="312"/>
      <c r="J98" s="309"/>
      <c r="K98" s="309"/>
      <c r="L98" s="323"/>
      <c r="M98" s="309">
        <f t="shared" si="33"/>
        <v>0</v>
      </c>
      <c r="N98" s="309">
        <f>SUM(N99:N102)</f>
        <v>8573100.4400000013</v>
      </c>
      <c r="O98" s="309">
        <f>SUM(O99:O102)</f>
        <v>1614976.44</v>
      </c>
      <c r="P98" s="309"/>
      <c r="Q98" s="323">
        <f>SUM(Q99:Q100)</f>
        <v>6250595.6799999997</v>
      </c>
      <c r="R98" s="323"/>
      <c r="S98" s="323"/>
      <c r="T98" s="309">
        <f>SUM(T99:T100)</f>
        <v>16438672.560000001</v>
      </c>
      <c r="U98" s="309">
        <f>SUM(U99:U100)</f>
        <v>16438672.560000001</v>
      </c>
      <c r="V98" s="309">
        <f>SUM(V99:V100)</f>
        <v>16438672.560000001</v>
      </c>
      <c r="W98" s="235">
        <v>17989534.530000001</v>
      </c>
      <c r="AA98" s="247">
        <f>17989534.53+U102</f>
        <v>20892862.530000001</v>
      </c>
      <c r="AB98" s="247">
        <f>U97-AA98</f>
        <v>689124.03000000119</v>
      </c>
    </row>
    <row r="99" spans="1:29" ht="105" x14ac:dyDescent="0.25">
      <c r="A99" s="239"/>
      <c r="B99" s="256" t="s">
        <v>266</v>
      </c>
      <c r="C99" s="239" t="s">
        <v>269</v>
      </c>
      <c r="D99" s="305" t="s">
        <v>20</v>
      </c>
      <c r="E99" s="312">
        <v>40</v>
      </c>
      <c r="F99" s="312">
        <v>40</v>
      </c>
      <c r="G99" s="312">
        <v>29</v>
      </c>
      <c r="H99" s="312">
        <v>40</v>
      </c>
      <c r="I99" s="312">
        <v>40</v>
      </c>
      <c r="J99" s="309">
        <f>45831</f>
        <v>45831</v>
      </c>
      <c r="K99" s="309">
        <f>(12142.68)</f>
        <v>12142.68</v>
      </c>
      <c r="L99" s="323">
        <v>46996.959999999999</v>
      </c>
      <c r="M99" s="309">
        <f t="shared" si="33"/>
        <v>104970.64</v>
      </c>
      <c r="N99" s="309">
        <f>G99*J99</f>
        <v>1329099</v>
      </c>
      <c r="O99" s="309">
        <f>G99*K99</f>
        <v>352137.72000000003</v>
      </c>
      <c r="P99" s="319"/>
      <c r="Q99" s="323">
        <f>G99*L99</f>
        <v>1362911.84</v>
      </c>
      <c r="R99" s="323"/>
      <c r="S99" s="323"/>
      <c r="T99" s="309">
        <f>N99+O99+P99+Q99+R99</f>
        <v>3044148.56</v>
      </c>
      <c r="U99" s="309">
        <f t="shared" ref="U99:V101" si="38">T99</f>
        <v>3044148.56</v>
      </c>
      <c r="V99" s="309">
        <f t="shared" si="38"/>
        <v>3044148.56</v>
      </c>
      <c r="W99" s="247"/>
      <c r="X99" s="247">
        <f>W98-U97</f>
        <v>-3592452.0300000012</v>
      </c>
    </row>
    <row r="100" spans="1:29" ht="108" customHeight="1" x14ac:dyDescent="0.25">
      <c r="A100" s="256"/>
      <c r="B100" s="256" t="s">
        <v>264</v>
      </c>
      <c r="C100" s="239" t="s">
        <v>271</v>
      </c>
      <c r="D100" s="305" t="s">
        <v>20</v>
      </c>
      <c r="E100" s="312">
        <v>96</v>
      </c>
      <c r="F100" s="312">
        <v>96</v>
      </c>
      <c r="G100" s="312">
        <v>104</v>
      </c>
      <c r="H100" s="312">
        <v>96</v>
      </c>
      <c r="I100" s="312">
        <v>96</v>
      </c>
      <c r="J100" s="313">
        <v>69653.86</v>
      </c>
      <c r="K100" s="309">
        <f>(12142.68)</f>
        <v>12142.68</v>
      </c>
      <c r="L100" s="323">
        <v>46996.959999999999</v>
      </c>
      <c r="M100" s="309">
        <f t="shared" si="33"/>
        <v>128793.5</v>
      </c>
      <c r="N100" s="309">
        <f>G100*J100</f>
        <v>7244001.4400000004</v>
      </c>
      <c r="O100" s="309">
        <f>G100*K100</f>
        <v>1262838.72</v>
      </c>
      <c r="P100" s="319"/>
      <c r="Q100" s="323">
        <f>G100*L100</f>
        <v>4887683.84</v>
      </c>
      <c r="R100" s="323"/>
      <c r="S100" s="323"/>
      <c r="T100" s="309">
        <f>N100+O100+P100+Q100+R100</f>
        <v>13394524</v>
      </c>
      <c r="U100" s="309">
        <f t="shared" si="38"/>
        <v>13394524</v>
      </c>
      <c r="V100" s="309">
        <f t="shared" si="38"/>
        <v>13394524</v>
      </c>
    </row>
    <row r="101" spans="1:29" ht="60" x14ac:dyDescent="0.25">
      <c r="A101" s="239" t="s">
        <v>247</v>
      </c>
      <c r="B101" s="256" t="s">
        <v>28</v>
      </c>
      <c r="C101" s="256" t="s">
        <v>219</v>
      </c>
      <c r="D101" s="305" t="s">
        <v>20</v>
      </c>
      <c r="E101" s="312">
        <f>E99+E100</f>
        <v>136</v>
      </c>
      <c r="F101" s="312">
        <f>F99+F100</f>
        <v>136</v>
      </c>
      <c r="G101" s="312">
        <f>G99+G100</f>
        <v>133</v>
      </c>
      <c r="H101" s="312">
        <f>H99+H100</f>
        <v>136</v>
      </c>
      <c r="I101" s="312">
        <f>I99+I100</f>
        <v>136</v>
      </c>
      <c r="J101" s="309"/>
      <c r="K101" s="309"/>
      <c r="L101" s="323">
        <v>16842</v>
      </c>
      <c r="M101" s="309">
        <f t="shared" si="33"/>
        <v>16842</v>
      </c>
      <c r="N101" s="312">
        <v>0</v>
      </c>
      <c r="O101" s="309">
        <v>0</v>
      </c>
      <c r="P101" s="312"/>
      <c r="Q101" s="323">
        <f>G101*L101</f>
        <v>2239986</v>
      </c>
      <c r="R101" s="323"/>
      <c r="S101" s="323"/>
      <c r="T101" s="309">
        <f>SUM(N101:Q101)</f>
        <v>2239986</v>
      </c>
      <c r="U101" s="309">
        <f t="shared" si="38"/>
        <v>2239986</v>
      </c>
      <c r="V101" s="309">
        <f t="shared" si="38"/>
        <v>2239986</v>
      </c>
    </row>
    <row r="102" spans="1:29" x14ac:dyDescent="0.25">
      <c r="A102" s="256"/>
      <c r="B102" s="256" t="s">
        <v>28</v>
      </c>
      <c r="C102" s="256" t="s">
        <v>220</v>
      </c>
      <c r="D102" s="305"/>
      <c r="E102" s="312"/>
      <c r="F102" s="312"/>
      <c r="G102" s="312">
        <v>136</v>
      </c>
      <c r="H102" s="312">
        <v>136</v>
      </c>
      <c r="I102" s="312">
        <v>136</v>
      </c>
      <c r="J102" s="309"/>
      <c r="K102" s="309"/>
      <c r="L102" s="323">
        <v>21348</v>
      </c>
      <c r="M102" s="309">
        <f t="shared" si="33"/>
        <v>21348</v>
      </c>
      <c r="N102" s="312"/>
      <c r="O102" s="309"/>
      <c r="P102" s="312"/>
      <c r="Q102" s="323"/>
      <c r="R102" s="323"/>
      <c r="S102" s="323">
        <f>G102*L102</f>
        <v>2903328</v>
      </c>
      <c r="T102" s="309">
        <f>S102</f>
        <v>2903328</v>
      </c>
      <c r="U102" s="309">
        <f>S102</f>
        <v>2903328</v>
      </c>
      <c r="V102" s="309">
        <f>S102</f>
        <v>2903328</v>
      </c>
    </row>
    <row r="103" spans="1:29" ht="30" customHeight="1" x14ac:dyDescent="0.25">
      <c r="A103" s="308" t="s">
        <v>68</v>
      </c>
      <c r="B103" s="308"/>
      <c r="C103" s="308"/>
      <c r="D103" s="314"/>
      <c r="E103" s="315"/>
      <c r="F103" s="315"/>
      <c r="G103" s="315"/>
      <c r="H103" s="315"/>
      <c r="I103" s="315"/>
      <c r="J103" s="311"/>
      <c r="K103" s="309"/>
      <c r="L103" s="325"/>
      <c r="M103" s="309">
        <f t="shared" si="33"/>
        <v>0</v>
      </c>
      <c r="N103" s="325">
        <f>N104+N110</f>
        <v>8877151.1613133699</v>
      </c>
      <c r="O103" s="325">
        <f>O104+O110</f>
        <v>1663547.1600000001</v>
      </c>
      <c r="P103" s="330"/>
      <c r="Q103" s="325">
        <f>Q104+Q110</f>
        <v>8745937.5199999996</v>
      </c>
      <c r="R103" s="325"/>
      <c r="S103" s="325">
        <f>S111</f>
        <v>2903328</v>
      </c>
      <c r="T103" s="325">
        <f>T104+T110+T111</f>
        <v>22189963.84131337</v>
      </c>
      <c r="U103" s="311">
        <f>U104+U110+U111</f>
        <v>22189963.84131337</v>
      </c>
      <c r="V103" s="311">
        <f>V104+V110+V111</f>
        <v>22189963.84131337</v>
      </c>
      <c r="W103" s="235">
        <v>7637084.2800000003</v>
      </c>
      <c r="X103" s="247">
        <f>W103-Q103</f>
        <v>-1108853.2399999993</v>
      </c>
      <c r="Y103" s="235">
        <f>X103/G110</f>
        <v>-8093.8192700729878</v>
      </c>
      <c r="AA103" s="235">
        <v>7421318.2800000003</v>
      </c>
      <c r="AB103" s="247">
        <f>AA103-Q103</f>
        <v>-1324619.2399999993</v>
      </c>
      <c r="AC103" s="235">
        <f>AB103/I110</f>
        <v>-9739.8473529411713</v>
      </c>
    </row>
    <row r="104" spans="1:29" ht="94.9" customHeight="1" x14ac:dyDescent="0.25">
      <c r="A104" s="239" t="s">
        <v>246</v>
      </c>
      <c r="B104" s="251" t="s">
        <v>76</v>
      </c>
      <c r="C104" s="251"/>
      <c r="D104" s="305"/>
      <c r="E104" s="312"/>
      <c r="F104" s="312"/>
      <c r="G104" s="312"/>
      <c r="H104" s="312"/>
      <c r="I104" s="312"/>
      <c r="J104" s="309"/>
      <c r="K104" s="309"/>
      <c r="L104" s="323"/>
      <c r="M104" s="309">
        <f t="shared" si="33"/>
        <v>0</v>
      </c>
      <c r="N104" s="309">
        <f>SUM(N105:N111)</f>
        <v>8877151.1613133699</v>
      </c>
      <c r="O104" s="309">
        <f>SUM(O105:O111)</f>
        <v>1663547.1600000001</v>
      </c>
      <c r="P104" s="312"/>
      <c r="Q104" s="323">
        <f>SUM(Q105:Q107)</f>
        <v>6438583.5199999996</v>
      </c>
      <c r="R104" s="323"/>
      <c r="S104" s="323"/>
      <c r="T104" s="309">
        <f>SUM(T105:T109)</f>
        <v>16979281.84131337</v>
      </c>
      <c r="U104" s="309">
        <f>SUM(U105:U109)</f>
        <v>16979281.84131337</v>
      </c>
      <c r="V104" s="309">
        <f>SUM(V105:V109)</f>
        <v>16979281.84131337</v>
      </c>
      <c r="W104" s="247">
        <v>18749103.280000001</v>
      </c>
      <c r="Y104" s="247"/>
      <c r="AA104" s="247">
        <f>18749103.28+U111</f>
        <v>21652431.280000001</v>
      </c>
      <c r="AB104" s="247">
        <f>U103-AA104</f>
        <v>537532.56131336838</v>
      </c>
    </row>
    <row r="105" spans="1:29" ht="49.5" customHeight="1" x14ac:dyDescent="0.25">
      <c r="A105" s="239"/>
      <c r="B105" s="256" t="s">
        <v>266</v>
      </c>
      <c r="C105" s="417" t="s">
        <v>269</v>
      </c>
      <c r="D105" s="305" t="s">
        <v>20</v>
      </c>
      <c r="E105" s="312">
        <v>40</v>
      </c>
      <c r="F105" s="312">
        <v>40</v>
      </c>
      <c r="G105" s="312">
        <v>31</v>
      </c>
      <c r="H105" s="312">
        <v>40</v>
      </c>
      <c r="I105" s="312">
        <v>40</v>
      </c>
      <c r="J105" s="309">
        <f>45831*1.00830081996</f>
        <v>46211.434879586763</v>
      </c>
      <c r="K105" s="309">
        <f>(12142.68)</f>
        <v>12142.68</v>
      </c>
      <c r="L105" s="323">
        <v>46996.959999999999</v>
      </c>
      <c r="M105" s="309">
        <f t="shared" si="33"/>
        <v>105351.07487958675</v>
      </c>
      <c r="N105" s="309">
        <f>G105*J105</f>
        <v>1432554.4812671896</v>
      </c>
      <c r="O105" s="309">
        <f>G105*K105</f>
        <v>376423.08</v>
      </c>
      <c r="P105" s="312"/>
      <c r="Q105" s="323">
        <f>G105*L105</f>
        <v>1456905.76</v>
      </c>
      <c r="R105" s="323"/>
      <c r="S105" s="323"/>
      <c r="T105" s="309">
        <f>SUM(N105:Q105)</f>
        <v>3265883.3212671895</v>
      </c>
      <c r="U105" s="309">
        <f t="shared" ref="U105:V107" si="39">T105</f>
        <v>3265883.3212671895</v>
      </c>
      <c r="V105" s="309">
        <f t="shared" si="39"/>
        <v>3265883.3212671895</v>
      </c>
    </row>
    <row r="106" spans="1:29" ht="54.75" customHeight="1" x14ac:dyDescent="0.25">
      <c r="A106" s="256"/>
      <c r="B106" s="256" t="s">
        <v>264</v>
      </c>
      <c r="C106" s="419"/>
      <c r="D106" s="305" t="s">
        <v>20</v>
      </c>
      <c r="E106" s="312">
        <v>20</v>
      </c>
      <c r="F106" s="312">
        <v>20</v>
      </c>
      <c r="G106" s="312"/>
      <c r="H106" s="312">
        <v>20</v>
      </c>
      <c r="I106" s="312">
        <v>20</v>
      </c>
      <c r="J106" s="309">
        <f>36323.51</f>
        <v>36323.51</v>
      </c>
      <c r="K106" s="309">
        <f>(12142.68)</f>
        <v>12142.68</v>
      </c>
      <c r="L106" s="323">
        <v>46996.959999999999</v>
      </c>
      <c r="M106" s="309">
        <f t="shared" si="33"/>
        <v>95463.15</v>
      </c>
      <c r="N106" s="309">
        <f>G106*J106</f>
        <v>0</v>
      </c>
      <c r="O106" s="309">
        <f>G106*K106</f>
        <v>0</v>
      </c>
      <c r="P106" s="312"/>
      <c r="Q106" s="323">
        <f>G106*L106</f>
        <v>0</v>
      </c>
      <c r="R106" s="323"/>
      <c r="S106" s="323"/>
      <c r="T106" s="309">
        <f>SUM(N106:Q106)</f>
        <v>0</v>
      </c>
      <c r="U106" s="309">
        <f t="shared" si="39"/>
        <v>0</v>
      </c>
      <c r="V106" s="309">
        <f t="shared" si="39"/>
        <v>0</v>
      </c>
      <c r="X106" s="247">
        <f>W104-U103</f>
        <v>-3440860.5613133684</v>
      </c>
    </row>
    <row r="107" spans="1:29" ht="133.5" customHeight="1" x14ac:dyDescent="0.25">
      <c r="A107" s="256"/>
      <c r="B107" s="256" t="s">
        <v>264</v>
      </c>
      <c r="C107" s="239" t="s">
        <v>268</v>
      </c>
      <c r="D107" s="305" t="s">
        <v>20</v>
      </c>
      <c r="E107" s="312">
        <v>76</v>
      </c>
      <c r="F107" s="312">
        <v>76</v>
      </c>
      <c r="G107" s="312">
        <v>106</v>
      </c>
      <c r="H107" s="312">
        <v>76</v>
      </c>
      <c r="I107" s="312">
        <v>76</v>
      </c>
      <c r="J107" s="313">
        <f>69653.86*1.00830081996</f>
        <v>70232.044151379057</v>
      </c>
      <c r="K107" s="309">
        <f>(12142.68)</f>
        <v>12142.68</v>
      </c>
      <c r="L107" s="323">
        <v>46996.959999999999</v>
      </c>
      <c r="M107" s="309">
        <f t="shared" si="33"/>
        <v>129371.68415137904</v>
      </c>
      <c r="N107" s="309">
        <f>G107*J107</f>
        <v>7444596.6800461803</v>
      </c>
      <c r="O107" s="309">
        <f>G107*K107</f>
        <v>1287124.08</v>
      </c>
      <c r="P107" s="312"/>
      <c r="Q107" s="323">
        <f>G107*L107</f>
        <v>4981677.76</v>
      </c>
      <c r="R107" s="323"/>
      <c r="S107" s="323"/>
      <c r="T107" s="309">
        <f>SUM(N107:Q107)</f>
        <v>13713398.52004618</v>
      </c>
      <c r="U107" s="309">
        <f t="shared" si="39"/>
        <v>13713398.52004618</v>
      </c>
      <c r="V107" s="309">
        <f t="shared" si="39"/>
        <v>13713398.52004618</v>
      </c>
    </row>
    <row r="108" spans="1:29" ht="45.75" hidden="1" customHeight="1" x14ac:dyDescent="0.25">
      <c r="A108" s="256"/>
      <c r="B108" s="251" t="s">
        <v>253</v>
      </c>
      <c r="C108" s="256" t="s">
        <v>226</v>
      </c>
      <c r="D108" s="305"/>
      <c r="E108" s="312"/>
      <c r="F108" s="312"/>
      <c r="G108" s="312"/>
      <c r="H108" s="312"/>
      <c r="I108" s="312"/>
      <c r="J108" s="309"/>
      <c r="K108" s="309">
        <f t="shared" ref="K108:K109" si="40">(12142.68*2.133649)</f>
        <v>25908.217039320003</v>
      </c>
      <c r="L108" s="323"/>
      <c r="M108" s="309">
        <f t="shared" si="33"/>
        <v>25908.217039320003</v>
      </c>
      <c r="N108" s="312"/>
      <c r="O108" s="309"/>
      <c r="P108" s="312"/>
      <c r="Q108" s="323"/>
      <c r="R108" s="323"/>
      <c r="S108" s="323"/>
      <c r="T108" s="309">
        <f>N108</f>
        <v>0</v>
      </c>
      <c r="U108" s="309">
        <f t="shared" ref="U108:V110" si="41">T108</f>
        <v>0</v>
      </c>
      <c r="V108" s="309">
        <f t="shared" si="41"/>
        <v>0</v>
      </c>
    </row>
    <row r="109" spans="1:29" hidden="1" x14ac:dyDescent="0.25">
      <c r="A109" s="256"/>
      <c r="B109" s="251" t="s">
        <v>256</v>
      </c>
      <c r="C109" s="256"/>
      <c r="D109" s="305"/>
      <c r="E109" s="312"/>
      <c r="F109" s="312"/>
      <c r="G109" s="312"/>
      <c r="H109" s="312"/>
      <c r="I109" s="312"/>
      <c r="J109" s="309"/>
      <c r="K109" s="309">
        <f t="shared" si="40"/>
        <v>25908.217039320003</v>
      </c>
      <c r="L109" s="323"/>
      <c r="M109" s="309">
        <f t="shared" si="33"/>
        <v>25908.217039320003</v>
      </c>
      <c r="N109" s="312"/>
      <c r="O109" s="309"/>
      <c r="P109" s="312"/>
      <c r="Q109" s="323"/>
      <c r="R109" s="323"/>
      <c r="S109" s="323"/>
      <c r="T109" s="309">
        <f>O109</f>
        <v>0</v>
      </c>
      <c r="U109" s="309">
        <f>T109</f>
        <v>0</v>
      </c>
      <c r="V109" s="309">
        <f>U109</f>
        <v>0</v>
      </c>
    </row>
    <row r="110" spans="1:29" ht="64.5" customHeight="1" x14ac:dyDescent="0.25">
      <c r="A110" s="239" t="s">
        <v>247</v>
      </c>
      <c r="B110" s="256" t="s">
        <v>28</v>
      </c>
      <c r="C110" s="256" t="s">
        <v>219</v>
      </c>
      <c r="D110" s="305" t="s">
        <v>20</v>
      </c>
      <c r="E110" s="312">
        <f>E107+E106+E105</f>
        <v>136</v>
      </c>
      <c r="F110" s="312">
        <f>F107+F106+F105</f>
        <v>136</v>
      </c>
      <c r="G110" s="312">
        <f>G107+G106+G105</f>
        <v>137</v>
      </c>
      <c r="H110" s="312">
        <f>H107+H106+H105</f>
        <v>136</v>
      </c>
      <c r="I110" s="312">
        <f>I107+I106+I105</f>
        <v>136</v>
      </c>
      <c r="J110" s="309"/>
      <c r="K110" s="309"/>
      <c r="L110" s="323">
        <v>16842</v>
      </c>
      <c r="M110" s="309">
        <f t="shared" si="33"/>
        <v>16842</v>
      </c>
      <c r="N110" s="312">
        <f>G110*J110</f>
        <v>0</v>
      </c>
      <c r="O110" s="309">
        <f>G110*K110</f>
        <v>0</v>
      </c>
      <c r="P110" s="312"/>
      <c r="Q110" s="323">
        <f>G110*L110</f>
        <v>2307354</v>
      </c>
      <c r="R110" s="323"/>
      <c r="S110" s="323"/>
      <c r="T110" s="309">
        <f>SUM(N110:Q110)</f>
        <v>2307354</v>
      </c>
      <c r="U110" s="309">
        <f t="shared" si="41"/>
        <v>2307354</v>
      </c>
      <c r="V110" s="309">
        <f t="shared" si="41"/>
        <v>2307354</v>
      </c>
    </row>
    <row r="111" spans="1:29" ht="20.45" customHeight="1" x14ac:dyDescent="0.25">
      <c r="A111" s="256"/>
      <c r="B111" s="256" t="s">
        <v>28</v>
      </c>
      <c r="C111" s="256" t="s">
        <v>220</v>
      </c>
      <c r="D111" s="305"/>
      <c r="E111" s="312"/>
      <c r="F111" s="312"/>
      <c r="G111" s="312">
        <v>136</v>
      </c>
      <c r="H111" s="312">
        <v>136</v>
      </c>
      <c r="I111" s="312">
        <v>136</v>
      </c>
      <c r="J111" s="309"/>
      <c r="K111" s="309"/>
      <c r="L111" s="323">
        <v>21348</v>
      </c>
      <c r="M111" s="309">
        <f t="shared" si="33"/>
        <v>21348</v>
      </c>
      <c r="N111" s="312"/>
      <c r="O111" s="309"/>
      <c r="P111" s="312"/>
      <c r="Q111" s="323"/>
      <c r="R111" s="323"/>
      <c r="S111" s="323">
        <f>G111*L111</f>
        <v>2903328</v>
      </c>
      <c r="T111" s="309">
        <f>S111</f>
        <v>2903328</v>
      </c>
      <c r="U111" s="309">
        <f>S111</f>
        <v>2903328</v>
      </c>
      <c r="V111" s="309">
        <f>S111</f>
        <v>2903328</v>
      </c>
    </row>
    <row r="112" spans="1:29" s="261" customFormat="1" ht="25.9" customHeight="1" x14ac:dyDescent="0.2">
      <c r="A112" s="308" t="s">
        <v>71</v>
      </c>
      <c r="B112" s="308"/>
      <c r="C112" s="308"/>
      <c r="D112" s="314"/>
      <c r="E112" s="315"/>
      <c r="F112" s="315"/>
      <c r="G112" s="315"/>
      <c r="H112" s="315"/>
      <c r="I112" s="315"/>
      <c r="J112" s="311"/>
      <c r="K112" s="309"/>
      <c r="L112" s="325"/>
      <c r="M112" s="309">
        <f t="shared" si="33"/>
        <v>0</v>
      </c>
      <c r="N112" s="325">
        <f>N113+N119</f>
        <v>15281879.140000001</v>
      </c>
      <c r="O112" s="325">
        <f>O113+O119</f>
        <v>2792816.4</v>
      </c>
      <c r="P112" s="325"/>
      <c r="Q112" s="325">
        <f>Q113+Q119+Q116</f>
        <v>14682960.799999999</v>
      </c>
      <c r="R112" s="325"/>
      <c r="S112" s="325">
        <f>S120</f>
        <v>4931388</v>
      </c>
      <c r="T112" s="325">
        <f>T113+T119+T120</f>
        <v>37689044.340000004</v>
      </c>
      <c r="U112" s="311">
        <f>U113+U119+U120</f>
        <v>37705886.340000004</v>
      </c>
      <c r="V112" s="311">
        <f>V113+V119+V120</f>
        <v>37705886.340000004</v>
      </c>
      <c r="W112" s="261">
        <v>12135022</v>
      </c>
      <c r="X112" s="262">
        <f>W112-Q112</f>
        <v>-2547938.7999999989</v>
      </c>
      <c r="Y112" s="261">
        <f>X112/G119</f>
        <v>-11077.99478260869</v>
      </c>
      <c r="AA112" s="261">
        <v>12524345</v>
      </c>
      <c r="AB112" s="262">
        <f>AA112-Q112</f>
        <v>-2158615.7999999989</v>
      </c>
      <c r="AC112" s="261">
        <f>AB112/I119</f>
        <v>-9344.6571428571388</v>
      </c>
    </row>
    <row r="113" spans="1:28" ht="85.5" customHeight="1" x14ac:dyDescent="0.25">
      <c r="A113" s="239" t="s">
        <v>246</v>
      </c>
      <c r="B113" s="251" t="s">
        <v>76</v>
      </c>
      <c r="C113" s="251"/>
      <c r="D113" s="305"/>
      <c r="E113" s="312"/>
      <c r="F113" s="312"/>
      <c r="G113" s="312"/>
      <c r="H113" s="312"/>
      <c r="I113" s="312"/>
      <c r="J113" s="309"/>
      <c r="K113" s="309"/>
      <c r="L113" s="323"/>
      <c r="M113" s="309">
        <f t="shared" si="33"/>
        <v>0</v>
      </c>
      <c r="N113" s="309">
        <f>SUM(N114:N120)</f>
        <v>15281879.140000001</v>
      </c>
      <c r="O113" s="309">
        <f>SUM(O114:O120)</f>
        <v>2792816.4</v>
      </c>
      <c r="P113" s="309"/>
      <c r="Q113" s="323">
        <f>SUM(Q114:Q115)</f>
        <v>10809300.799999999</v>
      </c>
      <c r="R113" s="323"/>
      <c r="S113" s="323"/>
      <c r="T113" s="309">
        <f>SUM(T114:T118)</f>
        <v>28883996.34</v>
      </c>
      <c r="U113" s="309">
        <f>SUM(U114:U118)</f>
        <v>28883996.34</v>
      </c>
      <c r="V113" s="309">
        <f>SUM(V114:V118)</f>
        <v>28883996.34</v>
      </c>
      <c r="W113" s="247">
        <v>33911273</v>
      </c>
      <c r="AA113" s="247">
        <f>33911273+U120</f>
        <v>38842661</v>
      </c>
      <c r="AB113" s="247">
        <f>U112-AA113</f>
        <v>-1136774.6599999964</v>
      </c>
    </row>
    <row r="114" spans="1:28" ht="105" x14ac:dyDescent="0.25">
      <c r="A114" s="239"/>
      <c r="B114" s="256" t="s">
        <v>266</v>
      </c>
      <c r="C114" s="239" t="s">
        <v>273</v>
      </c>
      <c r="D114" s="305" t="s">
        <v>20</v>
      </c>
      <c r="E114" s="312">
        <v>40</v>
      </c>
      <c r="F114" s="312">
        <v>40</v>
      </c>
      <c r="G114" s="312">
        <v>31</v>
      </c>
      <c r="H114" s="312">
        <v>40</v>
      </c>
      <c r="I114" s="312">
        <v>40</v>
      </c>
      <c r="J114" s="309">
        <f>45831</f>
        <v>45831</v>
      </c>
      <c r="K114" s="309">
        <f>(12142.68)</f>
        <v>12142.68</v>
      </c>
      <c r="L114" s="323">
        <v>46996.959999999999</v>
      </c>
      <c r="M114" s="309">
        <f t="shared" si="33"/>
        <v>104970.64</v>
      </c>
      <c r="N114" s="309">
        <f>G114*J114</f>
        <v>1420761</v>
      </c>
      <c r="O114" s="309">
        <f>G114*K114</f>
        <v>376423.08</v>
      </c>
      <c r="P114" s="312"/>
      <c r="Q114" s="323">
        <f>G114*L114</f>
        <v>1456905.76</v>
      </c>
      <c r="R114" s="323"/>
      <c r="S114" s="323"/>
      <c r="T114" s="309">
        <f t="shared" ref="T114:T119" si="42">SUM(N114:Q114)</f>
        <v>3254089.84</v>
      </c>
      <c r="U114" s="309">
        <f>T114</f>
        <v>3254089.84</v>
      </c>
      <c r="V114" s="309">
        <f t="shared" ref="V114:V119" si="43">U114</f>
        <v>3254089.84</v>
      </c>
      <c r="X114" s="247">
        <f>W113-U112</f>
        <v>-3794613.3400000036</v>
      </c>
    </row>
    <row r="115" spans="1:28" ht="138.75" customHeight="1" x14ac:dyDescent="0.25">
      <c r="A115" s="256"/>
      <c r="B115" s="256" t="s">
        <v>264</v>
      </c>
      <c r="C115" s="239" t="s">
        <v>275</v>
      </c>
      <c r="D115" s="305" t="s">
        <v>20</v>
      </c>
      <c r="E115" s="312">
        <v>191</v>
      </c>
      <c r="F115" s="312">
        <v>191</v>
      </c>
      <c r="G115" s="312">
        <v>199</v>
      </c>
      <c r="H115" s="312">
        <v>191</v>
      </c>
      <c r="I115" s="312">
        <v>191</v>
      </c>
      <c r="J115" s="313">
        <v>69653.86</v>
      </c>
      <c r="K115" s="309">
        <f t="shared" ref="K115:K117" si="44">(12142.68)</f>
        <v>12142.68</v>
      </c>
      <c r="L115" s="323">
        <v>46996.959999999999</v>
      </c>
      <c r="M115" s="309">
        <f t="shared" si="33"/>
        <v>128793.5</v>
      </c>
      <c r="N115" s="309">
        <f>G115*J115</f>
        <v>13861118.140000001</v>
      </c>
      <c r="O115" s="309">
        <f>G115*K115</f>
        <v>2416393.3199999998</v>
      </c>
      <c r="P115" s="312"/>
      <c r="Q115" s="323">
        <f>G115*L115</f>
        <v>9352395.0399999991</v>
      </c>
      <c r="R115" s="323"/>
      <c r="S115" s="323"/>
      <c r="T115" s="309">
        <f t="shared" si="42"/>
        <v>25629906.5</v>
      </c>
      <c r="U115" s="309">
        <f>T115</f>
        <v>25629906.5</v>
      </c>
      <c r="V115" s="309">
        <f t="shared" si="43"/>
        <v>25629906.5</v>
      </c>
    </row>
    <row r="116" spans="1:28" s="236" customFormat="1" hidden="1" x14ac:dyDescent="0.25">
      <c r="A116" s="305"/>
      <c r="B116" s="314" t="s">
        <v>258</v>
      </c>
      <c r="C116" s="305" t="s">
        <v>219</v>
      </c>
      <c r="D116" s="305"/>
      <c r="E116" s="312"/>
      <c r="F116" s="312"/>
      <c r="G116" s="312"/>
      <c r="H116" s="312"/>
      <c r="I116" s="312"/>
      <c r="J116" s="309"/>
      <c r="K116" s="309">
        <f t="shared" si="44"/>
        <v>12142.68</v>
      </c>
      <c r="L116" s="323"/>
      <c r="M116" s="309">
        <f t="shared" si="33"/>
        <v>12142.68</v>
      </c>
      <c r="N116" s="312"/>
      <c r="O116" s="309"/>
      <c r="P116" s="312"/>
      <c r="Q116" s="323"/>
      <c r="R116" s="323"/>
      <c r="S116" s="323"/>
      <c r="T116" s="309">
        <f>Q116</f>
        <v>0</v>
      </c>
      <c r="U116" s="309">
        <f>T116</f>
        <v>0</v>
      </c>
      <c r="V116" s="309">
        <f t="shared" si="43"/>
        <v>0</v>
      </c>
    </row>
    <row r="117" spans="1:28" ht="43.5" hidden="1" customHeight="1" x14ac:dyDescent="0.25">
      <c r="A117" s="256"/>
      <c r="B117" s="251" t="s">
        <v>253</v>
      </c>
      <c r="C117" s="256" t="s">
        <v>226</v>
      </c>
      <c r="D117" s="305"/>
      <c r="E117" s="312"/>
      <c r="F117" s="312"/>
      <c r="G117" s="312"/>
      <c r="H117" s="312"/>
      <c r="I117" s="312"/>
      <c r="J117" s="309"/>
      <c r="K117" s="309">
        <f t="shared" si="44"/>
        <v>12142.68</v>
      </c>
      <c r="L117" s="323"/>
      <c r="M117" s="309">
        <f t="shared" si="33"/>
        <v>12142.68</v>
      </c>
      <c r="N117" s="312"/>
      <c r="O117" s="309"/>
      <c r="P117" s="312"/>
      <c r="Q117" s="323"/>
      <c r="R117" s="323"/>
      <c r="S117" s="323"/>
      <c r="T117" s="309">
        <f>N117</f>
        <v>0</v>
      </c>
      <c r="U117" s="309">
        <f>T117</f>
        <v>0</v>
      </c>
      <c r="V117" s="309">
        <f t="shared" si="43"/>
        <v>0</v>
      </c>
    </row>
    <row r="118" spans="1:28" ht="18.75" hidden="1" customHeight="1" x14ac:dyDescent="0.25">
      <c r="A118" s="256"/>
      <c r="B118" s="251" t="s">
        <v>256</v>
      </c>
      <c r="C118" s="256"/>
      <c r="D118" s="305"/>
      <c r="E118" s="312"/>
      <c r="F118" s="312"/>
      <c r="G118" s="312"/>
      <c r="H118" s="312"/>
      <c r="I118" s="312"/>
      <c r="J118" s="309"/>
      <c r="K118" s="309">
        <f t="shared" ref="K118" si="45">(12142.68*1.802017)+6356.14+938.636+149.97-0.09377-158.3333</f>
        <v>29167.634715560001</v>
      </c>
      <c r="L118" s="323"/>
      <c r="M118" s="309">
        <f t="shared" si="33"/>
        <v>29167.634715560001</v>
      </c>
      <c r="N118" s="312"/>
      <c r="O118" s="309"/>
      <c r="P118" s="312"/>
      <c r="Q118" s="323"/>
      <c r="R118" s="323"/>
      <c r="S118" s="323"/>
      <c r="T118" s="309">
        <f>O118</f>
        <v>0</v>
      </c>
      <c r="U118" s="309">
        <f>T118</f>
        <v>0</v>
      </c>
      <c r="V118" s="309">
        <f t="shared" si="43"/>
        <v>0</v>
      </c>
    </row>
    <row r="119" spans="1:28" ht="62.25" customHeight="1" x14ac:dyDescent="0.25">
      <c r="A119" s="239" t="s">
        <v>247</v>
      </c>
      <c r="B119" s="256" t="s">
        <v>28</v>
      </c>
      <c r="C119" s="256" t="s">
        <v>219</v>
      </c>
      <c r="D119" s="305" t="s">
        <v>20</v>
      </c>
      <c r="E119" s="312">
        <f>E114+E115</f>
        <v>231</v>
      </c>
      <c r="F119" s="312">
        <f t="shared" ref="F119:G119" si="46">F114+F115</f>
        <v>231</v>
      </c>
      <c r="G119" s="312">
        <f t="shared" si="46"/>
        <v>230</v>
      </c>
      <c r="H119" s="312">
        <f>H114+H115</f>
        <v>231</v>
      </c>
      <c r="I119" s="312">
        <f>I114+I115</f>
        <v>231</v>
      </c>
      <c r="J119" s="309"/>
      <c r="K119" s="309"/>
      <c r="L119" s="323">
        <v>16842</v>
      </c>
      <c r="M119" s="309">
        <f t="shared" si="33"/>
        <v>16842</v>
      </c>
      <c r="N119" s="312"/>
      <c r="O119" s="309">
        <f>G119*K119</f>
        <v>0</v>
      </c>
      <c r="P119" s="312"/>
      <c r="Q119" s="323">
        <f>G119*L119</f>
        <v>3873660</v>
      </c>
      <c r="R119" s="323"/>
      <c r="S119" s="323"/>
      <c r="T119" s="309">
        <f t="shared" si="42"/>
        <v>3873660</v>
      </c>
      <c r="U119" s="309">
        <f>H119*M119</f>
        <v>3890502</v>
      </c>
      <c r="V119" s="309">
        <f t="shared" si="43"/>
        <v>3890502</v>
      </c>
    </row>
    <row r="120" spans="1:28" ht="21.6" customHeight="1" x14ac:dyDescent="0.25">
      <c r="A120" s="256"/>
      <c r="B120" s="256" t="s">
        <v>28</v>
      </c>
      <c r="C120" s="256" t="s">
        <v>220</v>
      </c>
      <c r="D120" s="305"/>
      <c r="E120" s="312"/>
      <c r="F120" s="312"/>
      <c r="G120" s="312">
        <v>231</v>
      </c>
      <c r="H120" s="312">
        <v>231</v>
      </c>
      <c r="I120" s="312">
        <v>231</v>
      </c>
      <c r="J120" s="309"/>
      <c r="K120" s="309"/>
      <c r="L120" s="323">
        <v>21348</v>
      </c>
      <c r="M120" s="309">
        <f t="shared" si="33"/>
        <v>21348</v>
      </c>
      <c r="N120" s="312"/>
      <c r="O120" s="309"/>
      <c r="P120" s="312"/>
      <c r="Q120" s="323"/>
      <c r="R120" s="323"/>
      <c r="S120" s="323">
        <f>G120*L120</f>
        <v>4931388</v>
      </c>
      <c r="T120" s="309">
        <f>S120</f>
        <v>4931388</v>
      </c>
      <c r="U120" s="309">
        <f>S120</f>
        <v>4931388</v>
      </c>
      <c r="V120" s="309">
        <f>S120</f>
        <v>4931388</v>
      </c>
    </row>
    <row r="121" spans="1:28" ht="22.15" customHeight="1" x14ac:dyDescent="0.25">
      <c r="A121" s="413" t="s">
        <v>232</v>
      </c>
      <c r="B121" s="414"/>
      <c r="C121" s="414"/>
      <c r="D121" s="414"/>
      <c r="E121" s="414"/>
      <c r="F121" s="414"/>
      <c r="G121" s="414"/>
      <c r="H121" s="414"/>
      <c r="I121" s="414"/>
      <c r="J121" s="414"/>
      <c r="K121" s="414"/>
      <c r="L121" s="414"/>
      <c r="M121" s="415"/>
      <c r="N121" s="311">
        <f>N13+N24+N35+N46+N57+N66+N77+N88+N97+N103+N112</f>
        <v>111787852.75279537</v>
      </c>
      <c r="O121" s="311">
        <f>O13+O24+O35+O46+O57+O66+O77+O88+O97+O103+O112</f>
        <v>19513286.760000002</v>
      </c>
      <c r="P121" s="311">
        <f>P13+P24+P35+P46+P57+P66+P77+P88+P97+P103+P112+1</f>
        <v>1</v>
      </c>
      <c r="Q121" s="325">
        <f>Q13+Q24+Q35+Q46+Q57+Q66+Q77+Q88+Q97+Q103+Q112</f>
        <v>105386122.58999997</v>
      </c>
      <c r="R121" s="325">
        <f>R13+R24+R35+R46+R57+R66+R77+R88+R97+R103+R112+1</f>
        <v>1</v>
      </c>
      <c r="S121" s="325">
        <f>S13+S24+S35+S46+S57+S66+S77+S88+S97+S103+S112</f>
        <v>34519716</v>
      </c>
      <c r="T121" s="311">
        <f>T13+T24+T35+T46+T57+T66+T77+T88+T97+T103+T112</f>
        <v>271206978.10279536</v>
      </c>
      <c r="U121" s="311">
        <f>U13+U24+U35+U46+U57+U66+U77+U88+U97+U103+U112</f>
        <v>271223820.10279536</v>
      </c>
      <c r="V121" s="311">
        <f>V13+V24+V35+V46+V57+V66+V77+V88+V97+V103+V112</f>
        <v>271223820.10279536</v>
      </c>
      <c r="W121" s="247"/>
    </row>
    <row r="122" spans="1:28" x14ac:dyDescent="0.25">
      <c r="A122" s="235" t="s">
        <v>282</v>
      </c>
      <c r="C122" s="263"/>
      <c r="D122" s="264"/>
      <c r="E122" s="264"/>
      <c r="F122" s="264"/>
      <c r="G122" s="264"/>
      <c r="H122" s="264"/>
      <c r="I122" s="264"/>
      <c r="J122" s="264"/>
      <c r="K122" s="264"/>
      <c r="L122" s="263"/>
      <c r="M122" s="264"/>
      <c r="N122" s="265"/>
      <c r="O122" s="265"/>
      <c r="P122" s="265"/>
      <c r="Q122" s="326"/>
      <c r="R122" s="326"/>
      <c r="S122" s="326"/>
      <c r="T122" s="265"/>
      <c r="U122" s="264"/>
      <c r="V122" s="265"/>
    </row>
    <row r="123" spans="1:28" x14ac:dyDescent="0.25">
      <c r="A123" s="235" t="s">
        <v>178</v>
      </c>
      <c r="N123" s="288"/>
      <c r="P123" s="266"/>
      <c r="Q123" s="247"/>
      <c r="U123" s="266"/>
      <c r="V123" s="265"/>
    </row>
    <row r="124" spans="1:28" x14ac:dyDescent="0.25">
      <c r="N124" s="264"/>
      <c r="Q124" s="247"/>
      <c r="S124" s="247"/>
      <c r="T124" s="266"/>
      <c r="U124" s="266"/>
    </row>
    <row r="125" spans="1:28" x14ac:dyDescent="0.25">
      <c r="N125" s="266"/>
      <c r="Q125" s="247"/>
      <c r="S125" s="247"/>
      <c r="T125" s="266"/>
      <c r="U125" s="266"/>
      <c r="V125" s="266"/>
    </row>
    <row r="126" spans="1:28" x14ac:dyDescent="0.25">
      <c r="N126" s="266"/>
      <c r="O126" s="266"/>
      <c r="Q126" s="247"/>
      <c r="R126" s="247"/>
      <c r="S126" s="247"/>
      <c r="U126" s="266"/>
      <c r="V126" s="266"/>
    </row>
    <row r="127" spans="1:28" x14ac:dyDescent="0.25">
      <c r="O127" s="266"/>
      <c r="Q127" s="247"/>
      <c r="T127" s="266"/>
    </row>
    <row r="128" spans="1:28" x14ac:dyDescent="0.25">
      <c r="N128" s="266"/>
      <c r="Q128" s="247"/>
      <c r="U128" s="266"/>
    </row>
    <row r="129" spans="1:26" s="236" customFormat="1" hidden="1" x14ac:dyDescent="0.25">
      <c r="A129" s="235"/>
      <c r="B129" s="235"/>
      <c r="C129" s="235"/>
      <c r="L129" s="235"/>
      <c r="Q129" s="247"/>
      <c r="R129" s="235"/>
      <c r="S129" s="235"/>
      <c r="W129" s="235"/>
      <c r="X129" s="235"/>
      <c r="Y129" s="235"/>
    </row>
    <row r="130" spans="1:26" hidden="1" x14ac:dyDescent="0.25"/>
    <row r="131" spans="1:26" hidden="1" x14ac:dyDescent="0.25"/>
    <row r="132" spans="1:26" ht="409.5" hidden="1" x14ac:dyDescent="0.25">
      <c r="B132" s="267"/>
      <c r="C132" s="256" t="s">
        <v>266</v>
      </c>
      <c r="D132" s="240" t="s">
        <v>264</v>
      </c>
      <c r="E132" s="268" t="s">
        <v>263</v>
      </c>
      <c r="F132" s="269"/>
      <c r="G132" s="268" t="s">
        <v>263</v>
      </c>
      <c r="H132" s="240" t="s">
        <v>264</v>
      </c>
      <c r="I132" s="240" t="s">
        <v>265</v>
      </c>
      <c r="J132" s="246" t="s">
        <v>311</v>
      </c>
      <c r="K132" s="246" t="s">
        <v>287</v>
      </c>
      <c r="L132" s="239" t="s">
        <v>181</v>
      </c>
      <c r="M132" s="240" t="s">
        <v>181</v>
      </c>
      <c r="N132" s="246"/>
      <c r="O132" s="270"/>
      <c r="P132" s="270"/>
      <c r="Q132" s="258"/>
      <c r="R132" s="267"/>
      <c r="S132" s="267"/>
      <c r="T132" s="270"/>
      <c r="U132" s="264"/>
      <c r="V132" s="264"/>
      <c r="W132" s="263"/>
      <c r="X132" s="263"/>
      <c r="Y132" s="263"/>
      <c r="Z132" s="263"/>
    </row>
    <row r="133" spans="1:26" hidden="1" x14ac:dyDescent="0.25">
      <c r="A133" s="271">
        <v>4</v>
      </c>
      <c r="B133" s="272" t="s">
        <v>312</v>
      </c>
      <c r="C133" s="401" t="s">
        <v>306</v>
      </c>
      <c r="D133" s="402"/>
      <c r="E133" s="402"/>
      <c r="F133" s="402"/>
      <c r="G133" s="403"/>
      <c r="H133" s="245" t="s">
        <v>308</v>
      </c>
      <c r="I133" s="245" t="s">
        <v>309</v>
      </c>
      <c r="J133" s="404" t="s">
        <v>310</v>
      </c>
      <c r="K133" s="405"/>
      <c r="L133" s="256" t="s">
        <v>313</v>
      </c>
      <c r="M133" s="245" t="s">
        <v>314</v>
      </c>
      <c r="N133" s="289"/>
      <c r="O133" s="273"/>
      <c r="P133" s="273"/>
      <c r="Q133" s="327"/>
      <c r="R133" s="327"/>
      <c r="S133" s="328"/>
      <c r="T133" s="245"/>
      <c r="U133" s="274"/>
      <c r="V133" s="274"/>
      <c r="W133" s="263"/>
      <c r="X133" s="263"/>
      <c r="Y133" s="263"/>
      <c r="Z133" s="263"/>
    </row>
    <row r="134" spans="1:26" hidden="1" x14ac:dyDescent="0.25">
      <c r="A134" s="271"/>
      <c r="B134" s="275" t="s">
        <v>307</v>
      </c>
      <c r="C134" s="258">
        <v>19</v>
      </c>
      <c r="D134" s="276">
        <v>60</v>
      </c>
      <c r="E134" s="276"/>
      <c r="F134" s="252"/>
      <c r="G134" s="276">
        <v>22</v>
      </c>
      <c r="H134" s="277">
        <v>17</v>
      </c>
      <c r="I134" s="277"/>
      <c r="J134" s="246"/>
      <c r="K134" s="287"/>
      <c r="L134" s="267"/>
      <c r="M134" s="270"/>
      <c r="N134" s="270"/>
      <c r="O134" s="270"/>
      <c r="P134" s="270"/>
      <c r="Q134" s="267"/>
      <c r="R134" s="329"/>
      <c r="S134" s="267"/>
      <c r="T134" s="270"/>
      <c r="U134" s="264"/>
      <c r="V134" s="264"/>
      <c r="W134" s="263"/>
      <c r="X134" s="263"/>
      <c r="Y134" s="263"/>
      <c r="Z134" s="263"/>
    </row>
    <row r="135" spans="1:26" hidden="1" x14ac:dyDescent="0.25">
      <c r="A135" s="271"/>
      <c r="B135" s="253" t="s">
        <v>225</v>
      </c>
      <c r="C135" s="267"/>
      <c r="D135" s="270"/>
      <c r="E135" s="270"/>
      <c r="F135" s="270"/>
      <c r="G135" s="270"/>
      <c r="H135" s="279"/>
      <c r="I135" s="279"/>
      <c r="J135" s="279"/>
      <c r="K135" s="270"/>
      <c r="L135" s="267"/>
      <c r="M135" s="270"/>
      <c r="N135" s="278"/>
      <c r="O135" s="278"/>
      <c r="P135" s="270"/>
      <c r="Q135" s="329"/>
      <c r="R135" s="267"/>
      <c r="S135" s="329"/>
      <c r="T135" s="278"/>
      <c r="U135" s="264"/>
      <c r="V135" s="280"/>
      <c r="W135" s="263"/>
      <c r="X135" s="263"/>
      <c r="Y135" s="263"/>
      <c r="Z135" s="263"/>
    </row>
    <row r="136" spans="1:26" hidden="1" x14ac:dyDescent="0.25">
      <c r="B136" s="253" t="s">
        <v>225</v>
      </c>
      <c r="C136" s="267"/>
      <c r="D136" s="270"/>
      <c r="E136" s="270"/>
      <c r="F136" s="270"/>
      <c r="G136" s="270"/>
      <c r="H136" s="270"/>
      <c r="I136" s="270"/>
      <c r="J136" s="270"/>
      <c r="K136" s="270"/>
      <c r="L136" s="267"/>
      <c r="M136" s="270"/>
      <c r="N136" s="278"/>
      <c r="O136" s="278"/>
      <c r="P136" s="270"/>
      <c r="Q136" s="267"/>
      <c r="R136" s="267"/>
      <c r="S136" s="329"/>
      <c r="T136" s="278"/>
      <c r="U136" s="264"/>
      <c r="V136" s="264"/>
      <c r="W136" s="263"/>
      <c r="X136" s="263"/>
      <c r="Y136" s="263"/>
      <c r="Z136" s="263"/>
    </row>
    <row r="137" spans="1:26" ht="30" hidden="1" x14ac:dyDescent="0.25">
      <c r="B137" s="239" t="s">
        <v>283</v>
      </c>
      <c r="C137" s="267"/>
      <c r="D137" s="270"/>
      <c r="E137" s="270"/>
      <c r="F137" s="270"/>
      <c r="G137" s="270"/>
      <c r="H137" s="270"/>
      <c r="I137" s="270"/>
      <c r="J137" s="270"/>
      <c r="K137" s="270"/>
      <c r="L137" s="267"/>
      <c r="M137" s="270"/>
      <c r="N137" s="278"/>
      <c r="O137" s="270"/>
      <c r="P137" s="270"/>
      <c r="Q137" s="267"/>
      <c r="R137" s="267"/>
      <c r="S137" s="267"/>
      <c r="T137" s="270"/>
      <c r="U137" s="264"/>
      <c r="V137" s="264"/>
      <c r="W137" s="263"/>
      <c r="X137" s="263"/>
      <c r="Y137" s="263"/>
      <c r="Z137" s="263"/>
    </row>
    <row r="138" spans="1:26" ht="60" hidden="1" x14ac:dyDescent="0.25">
      <c r="B138" s="260" t="s">
        <v>289</v>
      </c>
      <c r="C138" s="267"/>
      <c r="D138" s="270"/>
      <c r="E138" s="270"/>
      <c r="F138" s="270"/>
      <c r="G138" s="270"/>
      <c r="H138" s="270"/>
      <c r="I138" s="270"/>
      <c r="J138" s="270"/>
      <c r="K138" s="270"/>
      <c r="L138" s="267"/>
      <c r="M138" s="270"/>
      <c r="N138" s="281"/>
      <c r="O138" s="270"/>
      <c r="P138" s="281"/>
      <c r="Q138" s="267"/>
      <c r="R138" s="267"/>
      <c r="S138" s="267"/>
      <c r="T138" s="270"/>
      <c r="U138" s="264"/>
      <c r="V138" s="264"/>
      <c r="W138" s="263"/>
      <c r="X138" s="263"/>
      <c r="Y138" s="263"/>
      <c r="Z138" s="263"/>
    </row>
    <row r="139" spans="1:26" ht="45" hidden="1" x14ac:dyDescent="0.25">
      <c r="B139" s="260" t="s">
        <v>290</v>
      </c>
      <c r="C139" s="267"/>
      <c r="D139" s="270"/>
      <c r="E139" s="270"/>
      <c r="F139" s="270"/>
      <c r="G139" s="270"/>
      <c r="H139" s="270"/>
      <c r="I139" s="270"/>
      <c r="J139" s="270"/>
      <c r="K139" s="270"/>
      <c r="L139" s="267"/>
      <c r="M139" s="270"/>
      <c r="N139" s="278"/>
      <c r="O139" s="270"/>
      <c r="P139" s="270"/>
      <c r="Q139" s="267"/>
      <c r="R139" s="267"/>
      <c r="S139" s="329"/>
      <c r="T139" s="278"/>
      <c r="U139" s="264"/>
      <c r="V139" s="264"/>
      <c r="W139" s="263"/>
      <c r="X139" s="263"/>
      <c r="Y139" s="263"/>
      <c r="Z139" s="263"/>
    </row>
    <row r="140" spans="1:26" hidden="1" x14ac:dyDescent="0.25">
      <c r="B140" s="282" t="s">
        <v>316</v>
      </c>
      <c r="C140" s="267"/>
      <c r="D140" s="270"/>
      <c r="E140" s="270"/>
      <c r="F140" s="270"/>
      <c r="G140" s="270"/>
      <c r="H140" s="270"/>
      <c r="I140" s="270"/>
      <c r="J140" s="270"/>
      <c r="K140" s="270"/>
      <c r="L140" s="267"/>
      <c r="M140" s="270"/>
      <c r="N140" s="278"/>
      <c r="O140" s="278"/>
      <c r="P140" s="278"/>
      <c r="Q140" s="329"/>
      <c r="R140" s="329"/>
      <c r="S140" s="329"/>
      <c r="T140" s="270"/>
      <c r="U140" s="264"/>
      <c r="V140" s="264"/>
      <c r="W140" s="263"/>
      <c r="X140" s="263"/>
      <c r="Y140" s="263"/>
      <c r="Z140" s="263"/>
    </row>
    <row r="141" spans="1:26" hidden="1" x14ac:dyDescent="0.25">
      <c r="B141" s="283"/>
      <c r="C141" s="263"/>
      <c r="D141" s="264"/>
      <c r="E141" s="264"/>
      <c r="F141" s="264"/>
      <c r="G141" s="264"/>
      <c r="H141" s="264"/>
      <c r="I141" s="264"/>
      <c r="J141" s="264"/>
      <c r="K141" s="264"/>
      <c r="L141" s="263"/>
      <c r="M141" s="264"/>
      <c r="N141" s="265"/>
      <c r="O141" s="264"/>
      <c r="P141" s="264"/>
      <c r="Q141" s="263"/>
      <c r="R141" s="263"/>
    </row>
    <row r="142" spans="1:26" hidden="1" x14ac:dyDescent="0.25">
      <c r="B142" s="283"/>
      <c r="C142" s="263"/>
      <c r="D142" s="264"/>
      <c r="E142" s="264"/>
      <c r="F142" s="264"/>
      <c r="G142" s="264"/>
      <c r="H142" s="264"/>
      <c r="I142" s="264"/>
      <c r="J142" s="264"/>
      <c r="K142" s="264"/>
      <c r="L142" s="263"/>
      <c r="M142" s="264"/>
      <c r="N142" s="265"/>
      <c r="O142" s="264"/>
      <c r="P142" s="264"/>
      <c r="Q142" s="263"/>
      <c r="R142" s="263"/>
    </row>
    <row r="143" spans="1:26" hidden="1" x14ac:dyDescent="0.25">
      <c r="B143" s="272" t="s">
        <v>312</v>
      </c>
      <c r="C143" s="401" t="s">
        <v>306</v>
      </c>
      <c r="D143" s="402"/>
      <c r="E143" s="402"/>
      <c r="F143" s="402"/>
      <c r="G143" s="403"/>
      <c r="H143" s="245" t="s">
        <v>308</v>
      </c>
      <c r="I143" s="245" t="s">
        <v>309</v>
      </c>
      <c r="J143" s="404" t="s">
        <v>310</v>
      </c>
      <c r="K143" s="405"/>
      <c r="L143" s="256" t="s">
        <v>313</v>
      </c>
      <c r="M143" s="245" t="s">
        <v>314</v>
      </c>
      <c r="N143" s="246"/>
      <c r="O143" s="246"/>
      <c r="P143" s="245"/>
      <c r="Q143" s="256"/>
      <c r="R143" s="256"/>
      <c r="S143" s="328"/>
      <c r="T143" s="245"/>
    </row>
    <row r="144" spans="1:26" hidden="1" x14ac:dyDescent="0.25">
      <c r="A144" s="271">
        <v>5</v>
      </c>
      <c r="B144" s="275" t="s">
        <v>307</v>
      </c>
      <c r="C144" s="258"/>
      <c r="D144" s="276"/>
      <c r="E144" s="276"/>
      <c r="F144" s="252"/>
      <c r="G144" s="276"/>
      <c r="H144" s="252"/>
      <c r="I144" s="252">
        <v>32</v>
      </c>
      <c r="J144" s="246"/>
      <c r="K144" s="287"/>
      <c r="L144" s="267"/>
      <c r="M144" s="270"/>
      <c r="N144" s="270"/>
      <c r="O144" s="270"/>
      <c r="P144" s="270"/>
      <c r="Q144" s="267"/>
      <c r="R144" s="329"/>
      <c r="S144" s="267"/>
      <c r="T144" s="270"/>
    </row>
    <row r="145" spans="1:20" hidden="1" x14ac:dyDescent="0.25">
      <c r="B145" s="253" t="s">
        <v>225</v>
      </c>
      <c r="C145" s="267"/>
      <c r="D145" s="270"/>
      <c r="E145" s="270"/>
      <c r="F145" s="270"/>
      <c r="G145" s="270"/>
      <c r="H145" s="279"/>
      <c r="I145" s="279"/>
      <c r="J145" s="279"/>
      <c r="K145" s="270"/>
      <c r="L145" s="267"/>
      <c r="M145" s="270"/>
      <c r="N145" s="278"/>
      <c r="O145" s="278"/>
      <c r="P145" s="270"/>
      <c r="Q145" s="329"/>
      <c r="R145" s="329"/>
      <c r="S145" s="329"/>
      <c r="T145" s="278"/>
    </row>
    <row r="146" spans="1:20" hidden="1" x14ac:dyDescent="0.25">
      <c r="B146" s="253" t="s">
        <v>225</v>
      </c>
      <c r="C146" s="267"/>
      <c r="D146" s="270"/>
      <c r="E146" s="270"/>
      <c r="F146" s="270"/>
      <c r="G146" s="270"/>
      <c r="H146" s="270"/>
      <c r="I146" s="270"/>
      <c r="J146" s="270"/>
      <c r="K146" s="270"/>
      <c r="L146" s="267"/>
      <c r="M146" s="270"/>
      <c r="N146" s="278"/>
      <c r="O146" s="278"/>
      <c r="P146" s="270"/>
      <c r="Q146" s="267"/>
      <c r="R146" s="267"/>
      <c r="S146" s="329"/>
      <c r="T146" s="278"/>
    </row>
    <row r="147" spans="1:20" ht="30" hidden="1" x14ac:dyDescent="0.25">
      <c r="B147" s="239" t="s">
        <v>283</v>
      </c>
      <c r="C147" s="267"/>
      <c r="D147" s="270"/>
      <c r="E147" s="270"/>
      <c r="F147" s="270"/>
      <c r="G147" s="270"/>
      <c r="H147" s="270"/>
      <c r="I147" s="270"/>
      <c r="J147" s="270"/>
      <c r="K147" s="270"/>
      <c r="L147" s="267"/>
      <c r="M147" s="270"/>
      <c r="N147" s="278"/>
      <c r="O147" s="270"/>
      <c r="P147" s="270"/>
      <c r="Q147" s="267"/>
      <c r="R147" s="267"/>
      <c r="S147" s="267"/>
      <c r="T147" s="270"/>
    </row>
    <row r="148" spans="1:20" hidden="1" x14ac:dyDescent="0.25">
      <c r="B148" s="282" t="s">
        <v>316</v>
      </c>
      <c r="C148" s="267"/>
      <c r="D148" s="270"/>
      <c r="E148" s="270"/>
      <c r="F148" s="270"/>
      <c r="G148" s="270"/>
      <c r="H148" s="270"/>
      <c r="I148" s="270"/>
      <c r="J148" s="270"/>
      <c r="K148" s="270"/>
      <c r="L148" s="267"/>
      <c r="M148" s="270"/>
      <c r="N148" s="278"/>
      <c r="O148" s="278"/>
      <c r="P148" s="278"/>
      <c r="Q148" s="329"/>
      <c r="R148" s="329"/>
      <c r="S148" s="329"/>
      <c r="T148" s="270"/>
    </row>
    <row r="149" spans="1:20" hidden="1" x14ac:dyDescent="0.25">
      <c r="A149" s="263"/>
      <c r="B149" s="263"/>
      <c r="C149" s="263"/>
      <c r="D149" s="264"/>
      <c r="E149" s="264"/>
      <c r="F149" s="264"/>
      <c r="G149" s="264"/>
      <c r="H149" s="264"/>
      <c r="I149" s="264"/>
      <c r="J149" s="264"/>
      <c r="K149" s="264"/>
      <c r="L149" s="263"/>
      <c r="M149" s="264"/>
      <c r="N149" s="264"/>
      <c r="O149" s="264"/>
      <c r="P149" s="264"/>
      <c r="Q149" s="263"/>
      <c r="R149" s="263"/>
      <c r="S149" s="326"/>
      <c r="T149" s="265"/>
    </row>
    <row r="150" spans="1:20" hidden="1" x14ac:dyDescent="0.25">
      <c r="A150" s="263"/>
      <c r="B150" s="263"/>
      <c r="C150" s="263"/>
      <c r="D150" s="264"/>
      <c r="E150" s="264"/>
      <c r="F150" s="264"/>
      <c r="G150" s="264"/>
      <c r="H150" s="264"/>
      <c r="I150" s="264"/>
      <c r="J150" s="264"/>
      <c r="K150" s="264"/>
      <c r="L150" s="263"/>
      <c r="M150" s="264"/>
      <c r="N150" s="264"/>
      <c r="O150" s="264"/>
      <c r="P150" s="264"/>
      <c r="Q150" s="263"/>
      <c r="R150" s="263"/>
      <c r="S150" s="326"/>
      <c r="T150" s="264"/>
    </row>
    <row r="151" spans="1:20" hidden="1" x14ac:dyDescent="0.25">
      <c r="A151" s="271">
        <v>7</v>
      </c>
      <c r="B151" s="272" t="s">
        <v>312</v>
      </c>
      <c r="C151" s="401" t="s">
        <v>306</v>
      </c>
      <c r="D151" s="402"/>
      <c r="E151" s="402"/>
      <c r="F151" s="402"/>
      <c r="G151" s="403"/>
      <c r="H151" s="245" t="s">
        <v>308</v>
      </c>
      <c r="I151" s="245" t="s">
        <v>309</v>
      </c>
      <c r="J151" s="404" t="s">
        <v>310</v>
      </c>
      <c r="K151" s="405"/>
      <c r="L151" s="256" t="s">
        <v>313</v>
      </c>
      <c r="M151" s="245" t="s">
        <v>314</v>
      </c>
      <c r="N151" s="246"/>
      <c r="O151" s="246"/>
      <c r="P151" s="245"/>
      <c r="Q151" s="256"/>
      <c r="R151" s="256"/>
      <c r="S151" s="328"/>
      <c r="T151" s="245"/>
    </row>
    <row r="152" spans="1:20" hidden="1" x14ac:dyDescent="0.25">
      <c r="A152" s="271"/>
      <c r="B152" s="275" t="s">
        <v>307</v>
      </c>
      <c r="C152" s="267">
        <v>13</v>
      </c>
      <c r="D152" s="270">
        <v>24</v>
      </c>
      <c r="E152" s="270"/>
      <c r="F152" s="270"/>
      <c r="G152" s="270"/>
      <c r="H152" s="270">
        <v>43</v>
      </c>
      <c r="I152" s="270"/>
      <c r="J152" s="270">
        <v>18</v>
      </c>
      <c r="K152" s="270">
        <v>13</v>
      </c>
      <c r="L152" s="267"/>
      <c r="M152" s="270"/>
      <c r="N152" s="270"/>
      <c r="O152" s="270"/>
      <c r="P152" s="270"/>
      <c r="Q152" s="267"/>
      <c r="R152" s="329"/>
      <c r="S152" s="267"/>
      <c r="T152" s="270"/>
    </row>
    <row r="153" spans="1:20" hidden="1" x14ac:dyDescent="0.25">
      <c r="B153" s="253" t="s">
        <v>225</v>
      </c>
      <c r="C153" s="267"/>
      <c r="D153" s="270"/>
      <c r="E153" s="270"/>
      <c r="F153" s="270"/>
      <c r="G153" s="270"/>
      <c r="H153" s="270"/>
      <c r="I153" s="270"/>
      <c r="J153" s="270"/>
      <c r="K153" s="270"/>
      <c r="L153" s="267"/>
      <c r="M153" s="270"/>
      <c r="N153" s="278"/>
      <c r="O153" s="270"/>
      <c r="P153" s="270"/>
      <c r="Q153" s="329"/>
      <c r="R153" s="267"/>
      <c r="S153" s="329"/>
      <c r="T153" s="278"/>
    </row>
    <row r="154" spans="1:20" hidden="1" x14ac:dyDescent="0.25">
      <c r="B154" s="253" t="s">
        <v>225</v>
      </c>
      <c r="C154" s="267"/>
      <c r="D154" s="270"/>
      <c r="E154" s="270"/>
      <c r="F154" s="270"/>
      <c r="G154" s="270"/>
      <c r="H154" s="270"/>
      <c r="I154" s="270"/>
      <c r="J154" s="270"/>
      <c r="K154" s="270"/>
      <c r="L154" s="267"/>
      <c r="M154" s="270"/>
      <c r="N154" s="278"/>
      <c r="O154" s="278"/>
      <c r="P154" s="270"/>
      <c r="Q154" s="267"/>
      <c r="R154" s="267"/>
      <c r="S154" s="329"/>
      <c r="T154" s="278"/>
    </row>
    <row r="155" spans="1:20" ht="30" hidden="1" x14ac:dyDescent="0.25">
      <c r="B155" s="239" t="s">
        <v>283</v>
      </c>
      <c r="C155" s="267"/>
      <c r="D155" s="270"/>
      <c r="E155" s="270"/>
      <c r="F155" s="270"/>
      <c r="G155" s="270"/>
      <c r="H155" s="270"/>
      <c r="I155" s="270"/>
      <c r="J155" s="270"/>
      <c r="K155" s="270"/>
      <c r="L155" s="267"/>
      <c r="M155" s="270"/>
      <c r="N155" s="278"/>
      <c r="O155" s="270"/>
      <c r="P155" s="270"/>
      <c r="Q155" s="267"/>
      <c r="R155" s="267"/>
      <c r="S155" s="329"/>
      <c r="T155" s="270"/>
    </row>
    <row r="156" spans="1:20" hidden="1" x14ac:dyDescent="0.25">
      <c r="B156" s="260" t="s">
        <v>315</v>
      </c>
      <c r="C156" s="267"/>
      <c r="D156" s="270"/>
      <c r="E156" s="270"/>
      <c r="F156" s="270"/>
      <c r="G156" s="270"/>
      <c r="H156" s="270"/>
      <c r="I156" s="270"/>
      <c r="J156" s="270"/>
      <c r="K156" s="270"/>
      <c r="L156" s="267"/>
      <c r="M156" s="270"/>
      <c r="N156" s="278"/>
      <c r="O156" s="270"/>
      <c r="P156" s="278"/>
      <c r="Q156" s="267"/>
      <c r="R156" s="267"/>
      <c r="S156" s="329"/>
      <c r="T156" s="270"/>
    </row>
    <row r="157" spans="1:20" ht="60" hidden="1" x14ac:dyDescent="0.25">
      <c r="B157" s="260" t="s">
        <v>289</v>
      </c>
      <c r="C157" s="267"/>
      <c r="D157" s="270"/>
      <c r="E157" s="270"/>
      <c r="F157" s="270"/>
      <c r="G157" s="270"/>
      <c r="H157" s="270"/>
      <c r="I157" s="270"/>
      <c r="J157" s="270"/>
      <c r="K157" s="270"/>
      <c r="L157" s="267"/>
      <c r="M157" s="270"/>
      <c r="N157" s="281"/>
      <c r="O157" s="270"/>
      <c r="P157" s="270"/>
      <c r="Q157" s="267"/>
      <c r="R157" s="267"/>
      <c r="S157" s="329"/>
      <c r="T157" s="278"/>
    </row>
    <row r="158" spans="1:20" ht="45" hidden="1" x14ac:dyDescent="0.25">
      <c r="B158" s="260" t="s">
        <v>290</v>
      </c>
      <c r="C158" s="267"/>
      <c r="D158" s="270"/>
      <c r="E158" s="270"/>
      <c r="F158" s="270"/>
      <c r="G158" s="270"/>
      <c r="H158" s="270"/>
      <c r="I158" s="270"/>
      <c r="J158" s="270"/>
      <c r="K158" s="270"/>
      <c r="L158" s="267"/>
      <c r="M158" s="270"/>
      <c r="N158" s="278"/>
      <c r="O158" s="270"/>
      <c r="P158" s="270"/>
      <c r="Q158" s="267"/>
      <c r="R158" s="267"/>
      <c r="S158" s="329"/>
      <c r="T158" s="270"/>
    </row>
    <row r="159" spans="1:20" hidden="1" x14ac:dyDescent="0.25">
      <c r="B159" s="282" t="s">
        <v>316</v>
      </c>
      <c r="C159" s="267"/>
      <c r="D159" s="270"/>
      <c r="E159" s="270"/>
      <c r="F159" s="270"/>
      <c r="G159" s="270"/>
      <c r="H159" s="270"/>
      <c r="I159" s="270"/>
      <c r="J159" s="270"/>
      <c r="K159" s="270"/>
      <c r="L159" s="267"/>
      <c r="M159" s="270"/>
      <c r="N159" s="278"/>
      <c r="O159" s="270"/>
      <c r="P159" s="270"/>
      <c r="Q159" s="267"/>
      <c r="R159" s="267"/>
      <c r="S159" s="329"/>
      <c r="T159" s="270"/>
    </row>
    <row r="160" spans="1:20" hidden="1" x14ac:dyDescent="0.25"/>
    <row r="161" spans="1:20" hidden="1" x14ac:dyDescent="0.25"/>
    <row r="162" spans="1:20" hidden="1" x14ac:dyDescent="0.25">
      <c r="A162" s="271">
        <v>8</v>
      </c>
      <c r="B162" s="272" t="s">
        <v>312</v>
      </c>
      <c r="C162" s="401" t="s">
        <v>306</v>
      </c>
      <c r="D162" s="402"/>
      <c r="E162" s="402"/>
      <c r="F162" s="402"/>
      <c r="G162" s="403"/>
      <c r="H162" s="245" t="s">
        <v>308</v>
      </c>
      <c r="I162" s="245" t="s">
        <v>309</v>
      </c>
      <c r="J162" s="404" t="s">
        <v>310</v>
      </c>
      <c r="K162" s="405"/>
      <c r="L162" s="256" t="s">
        <v>313</v>
      </c>
      <c r="M162" s="245" t="s">
        <v>314</v>
      </c>
      <c r="N162" s="246"/>
      <c r="O162" s="246"/>
      <c r="P162" s="245"/>
      <c r="Q162" s="256"/>
      <c r="R162" s="256"/>
      <c r="S162" s="328"/>
      <c r="T162" s="245"/>
    </row>
    <row r="163" spans="1:20" hidden="1" x14ac:dyDescent="0.25">
      <c r="A163" s="271"/>
      <c r="B163" s="267" t="s">
        <v>307</v>
      </c>
      <c r="C163" s="267">
        <v>19</v>
      </c>
      <c r="D163" s="270">
        <v>19</v>
      </c>
      <c r="E163" s="270"/>
      <c r="F163" s="270"/>
      <c r="G163" s="270"/>
      <c r="H163" s="270">
        <v>76</v>
      </c>
      <c r="I163" s="270"/>
      <c r="J163" s="270"/>
      <c r="K163" s="270"/>
      <c r="L163" s="267"/>
      <c r="M163" s="270"/>
      <c r="N163" s="270"/>
      <c r="O163" s="270"/>
      <c r="P163" s="270"/>
      <c r="Q163" s="267"/>
      <c r="R163" s="329"/>
      <c r="S163" s="267"/>
      <c r="T163" s="270"/>
    </row>
    <row r="164" spans="1:20" hidden="1" x14ac:dyDescent="0.25">
      <c r="B164" s="253" t="s">
        <v>225</v>
      </c>
      <c r="C164" s="267"/>
      <c r="D164" s="270"/>
      <c r="E164" s="270"/>
      <c r="F164" s="270"/>
      <c r="G164" s="270"/>
      <c r="H164" s="270"/>
      <c r="I164" s="270"/>
      <c r="J164" s="270"/>
      <c r="K164" s="270"/>
      <c r="L164" s="267"/>
      <c r="M164" s="270"/>
      <c r="N164" s="278"/>
      <c r="O164" s="278"/>
      <c r="P164" s="270"/>
      <c r="Q164" s="329"/>
      <c r="R164" s="267"/>
      <c r="S164" s="329"/>
      <c r="T164" s="278"/>
    </row>
    <row r="165" spans="1:20" hidden="1" x14ac:dyDescent="0.25">
      <c r="B165" s="253" t="s">
        <v>225</v>
      </c>
      <c r="C165" s="267"/>
      <c r="D165" s="270"/>
      <c r="E165" s="270"/>
      <c r="F165" s="270"/>
      <c r="G165" s="270"/>
      <c r="H165" s="270"/>
      <c r="I165" s="270"/>
      <c r="J165" s="270"/>
      <c r="K165" s="270"/>
      <c r="L165" s="267"/>
      <c r="M165" s="270"/>
      <c r="N165" s="278"/>
      <c r="O165" s="278"/>
      <c r="P165" s="270"/>
      <c r="Q165" s="267"/>
      <c r="R165" s="267"/>
      <c r="S165" s="329"/>
      <c r="T165" s="278"/>
    </row>
    <row r="166" spans="1:20" ht="30" hidden="1" x14ac:dyDescent="0.25">
      <c r="B166" s="239" t="s">
        <v>283</v>
      </c>
      <c r="C166" s="267"/>
      <c r="D166" s="270"/>
      <c r="E166" s="270"/>
      <c r="F166" s="270"/>
      <c r="G166" s="270"/>
      <c r="H166" s="270"/>
      <c r="I166" s="270"/>
      <c r="J166" s="270"/>
      <c r="K166" s="270"/>
      <c r="L166" s="267"/>
      <c r="M166" s="270"/>
      <c r="N166" s="278"/>
      <c r="O166" s="270"/>
      <c r="P166" s="270"/>
      <c r="Q166" s="267"/>
      <c r="R166" s="267"/>
      <c r="S166" s="329"/>
      <c r="T166" s="270"/>
    </row>
    <row r="167" spans="1:20" ht="60" hidden="1" x14ac:dyDescent="0.25">
      <c r="B167" s="260" t="s">
        <v>289</v>
      </c>
      <c r="C167" s="267"/>
      <c r="D167" s="270"/>
      <c r="E167" s="270"/>
      <c r="F167" s="270"/>
      <c r="G167" s="270"/>
      <c r="H167" s="270"/>
      <c r="I167" s="270"/>
      <c r="J167" s="270"/>
      <c r="K167" s="270"/>
      <c r="L167" s="267"/>
      <c r="M167" s="270"/>
      <c r="N167" s="281"/>
      <c r="O167" s="270"/>
      <c r="P167" s="281"/>
      <c r="Q167" s="267"/>
      <c r="R167" s="267"/>
      <c r="S167" s="329"/>
      <c r="T167" s="270"/>
    </row>
    <row r="168" spans="1:20" ht="45" hidden="1" x14ac:dyDescent="0.25">
      <c r="B168" s="260" t="s">
        <v>290</v>
      </c>
      <c r="C168" s="267"/>
      <c r="D168" s="270"/>
      <c r="E168" s="270"/>
      <c r="F168" s="270"/>
      <c r="G168" s="270"/>
      <c r="H168" s="270"/>
      <c r="I168" s="270"/>
      <c r="J168" s="270"/>
      <c r="K168" s="270"/>
      <c r="L168" s="267"/>
      <c r="M168" s="270"/>
      <c r="N168" s="278"/>
      <c r="O168" s="270"/>
      <c r="P168" s="270"/>
      <c r="Q168" s="267"/>
      <c r="R168" s="267"/>
      <c r="S168" s="329"/>
      <c r="T168" s="278"/>
    </row>
    <row r="169" spans="1:20" hidden="1" x14ac:dyDescent="0.25">
      <c r="B169" s="282" t="s">
        <v>316</v>
      </c>
      <c r="C169" s="267"/>
      <c r="D169" s="270"/>
      <c r="E169" s="270"/>
      <c r="F169" s="270"/>
      <c r="G169" s="270"/>
      <c r="H169" s="270"/>
      <c r="I169" s="270"/>
      <c r="J169" s="270"/>
      <c r="K169" s="270"/>
      <c r="L169" s="267"/>
      <c r="M169" s="270"/>
      <c r="N169" s="278"/>
      <c r="O169" s="270"/>
      <c r="P169" s="270"/>
      <c r="Q169" s="267"/>
      <c r="R169" s="267"/>
      <c r="S169" s="329"/>
      <c r="T169" s="270"/>
    </row>
    <row r="170" spans="1:20" hidden="1" x14ac:dyDescent="0.25">
      <c r="S170" s="326"/>
      <c r="T170" s="264"/>
    </row>
    <row r="171" spans="1:20" hidden="1" x14ac:dyDescent="0.25"/>
    <row r="172" spans="1:20" hidden="1" x14ac:dyDescent="0.25">
      <c r="B172" s="272" t="s">
        <v>312</v>
      </c>
      <c r="C172" s="401" t="s">
        <v>306</v>
      </c>
      <c r="D172" s="402"/>
      <c r="E172" s="402"/>
      <c r="F172" s="402"/>
      <c r="G172" s="403"/>
      <c r="H172" s="245" t="s">
        <v>308</v>
      </c>
      <c r="I172" s="245" t="s">
        <v>309</v>
      </c>
      <c r="J172" s="404" t="s">
        <v>310</v>
      </c>
      <c r="K172" s="405"/>
      <c r="L172" s="256" t="s">
        <v>313</v>
      </c>
      <c r="M172" s="245" t="s">
        <v>314</v>
      </c>
      <c r="N172" s="246"/>
      <c r="O172" s="246"/>
      <c r="P172" s="245"/>
      <c r="Q172" s="256"/>
      <c r="R172" s="256"/>
      <c r="S172" s="328"/>
      <c r="T172" s="245"/>
    </row>
    <row r="173" spans="1:20" hidden="1" x14ac:dyDescent="0.25">
      <c r="A173" s="271">
        <v>9</v>
      </c>
      <c r="B173" s="275" t="s">
        <v>307</v>
      </c>
      <c r="C173" s="267">
        <v>29</v>
      </c>
      <c r="D173" s="270">
        <v>89</v>
      </c>
      <c r="E173" s="270"/>
      <c r="F173" s="270"/>
      <c r="G173" s="270"/>
      <c r="H173" s="270">
        <v>75</v>
      </c>
      <c r="I173" s="270"/>
      <c r="J173" s="270"/>
      <c r="K173" s="270">
        <v>24</v>
      </c>
      <c r="L173" s="267"/>
      <c r="M173" s="270"/>
      <c r="N173" s="270"/>
      <c r="O173" s="270"/>
      <c r="P173" s="270"/>
      <c r="Q173" s="267"/>
      <c r="R173" s="329"/>
      <c r="S173" s="267"/>
      <c r="T173" s="270"/>
    </row>
    <row r="174" spans="1:20" hidden="1" x14ac:dyDescent="0.25">
      <c r="B174" s="253" t="s">
        <v>225</v>
      </c>
      <c r="C174" s="267"/>
      <c r="D174" s="270"/>
      <c r="E174" s="270"/>
      <c r="F174" s="270"/>
      <c r="G174" s="270"/>
      <c r="H174" s="270"/>
      <c r="I174" s="270"/>
      <c r="J174" s="270"/>
      <c r="K174" s="270"/>
      <c r="L174" s="267"/>
      <c r="M174" s="270"/>
      <c r="N174" s="278"/>
      <c r="O174" s="278"/>
      <c r="P174" s="270"/>
      <c r="Q174" s="329"/>
      <c r="R174" s="267"/>
      <c r="S174" s="329"/>
      <c r="T174" s="278"/>
    </row>
    <row r="175" spans="1:20" hidden="1" x14ac:dyDescent="0.25">
      <c r="B175" s="253" t="s">
        <v>225</v>
      </c>
      <c r="C175" s="267"/>
      <c r="D175" s="270"/>
      <c r="E175" s="270"/>
      <c r="F175" s="270"/>
      <c r="G175" s="270"/>
      <c r="H175" s="270"/>
      <c r="I175" s="270"/>
      <c r="J175" s="270"/>
      <c r="K175" s="270"/>
      <c r="L175" s="267"/>
      <c r="M175" s="270"/>
      <c r="N175" s="278"/>
      <c r="O175" s="278"/>
      <c r="P175" s="270"/>
      <c r="Q175" s="267"/>
      <c r="R175" s="267"/>
      <c r="S175" s="329"/>
      <c r="T175" s="278"/>
    </row>
    <row r="176" spans="1:20" ht="30" hidden="1" x14ac:dyDescent="0.25">
      <c r="B176" s="239" t="s">
        <v>283</v>
      </c>
      <c r="C176" s="267"/>
      <c r="D176" s="270"/>
      <c r="E176" s="270"/>
      <c r="F176" s="270"/>
      <c r="G176" s="270"/>
      <c r="H176" s="270"/>
      <c r="I176" s="270"/>
      <c r="J176" s="270"/>
      <c r="K176" s="270"/>
      <c r="L176" s="267"/>
      <c r="M176" s="270"/>
      <c r="N176" s="278"/>
      <c r="O176" s="270"/>
      <c r="P176" s="270"/>
      <c r="Q176" s="267"/>
      <c r="R176" s="267"/>
      <c r="S176" s="329"/>
      <c r="T176" s="270"/>
    </row>
    <row r="177" spans="1:20" ht="60" hidden="1" x14ac:dyDescent="0.25">
      <c r="B177" s="260" t="s">
        <v>289</v>
      </c>
      <c r="C177" s="267"/>
      <c r="D177" s="270"/>
      <c r="E177" s="270"/>
      <c r="F177" s="270"/>
      <c r="G177" s="270"/>
      <c r="H177" s="270"/>
      <c r="I177" s="270"/>
      <c r="J177" s="270"/>
      <c r="K177" s="270"/>
      <c r="L177" s="267"/>
      <c r="M177" s="270"/>
      <c r="N177" s="281"/>
      <c r="O177" s="270"/>
      <c r="P177" s="281"/>
      <c r="Q177" s="267"/>
      <c r="R177" s="267"/>
      <c r="S177" s="329"/>
      <c r="T177" s="270"/>
    </row>
    <row r="178" spans="1:20" ht="45" hidden="1" x14ac:dyDescent="0.25">
      <c r="B178" s="260" t="s">
        <v>290</v>
      </c>
      <c r="C178" s="267"/>
      <c r="D178" s="270"/>
      <c r="E178" s="270"/>
      <c r="F178" s="270"/>
      <c r="G178" s="270"/>
      <c r="H178" s="270"/>
      <c r="I178" s="270"/>
      <c r="J178" s="270"/>
      <c r="K178" s="270"/>
      <c r="L178" s="267"/>
      <c r="M178" s="270"/>
      <c r="N178" s="278"/>
      <c r="O178" s="270"/>
      <c r="P178" s="270"/>
      <c r="Q178" s="267"/>
      <c r="R178" s="267"/>
      <c r="S178" s="329"/>
      <c r="T178" s="278"/>
    </row>
    <row r="179" spans="1:20" hidden="1" x14ac:dyDescent="0.25">
      <c r="B179" s="282" t="s">
        <v>316</v>
      </c>
      <c r="C179" s="267"/>
      <c r="D179" s="270"/>
      <c r="E179" s="270"/>
      <c r="F179" s="270"/>
      <c r="G179" s="270"/>
      <c r="H179" s="270"/>
      <c r="I179" s="270"/>
      <c r="J179" s="270"/>
      <c r="K179" s="270"/>
      <c r="L179" s="267"/>
      <c r="M179" s="270"/>
      <c r="N179" s="278"/>
      <c r="O179" s="270"/>
      <c r="P179" s="270"/>
      <c r="Q179" s="267"/>
      <c r="R179" s="267"/>
      <c r="S179" s="329"/>
      <c r="T179" s="270"/>
    </row>
    <row r="180" spans="1:20" hidden="1" x14ac:dyDescent="0.25"/>
    <row r="181" spans="1:20" hidden="1" x14ac:dyDescent="0.25"/>
    <row r="182" spans="1:20" hidden="1" x14ac:dyDescent="0.25">
      <c r="B182" s="272" t="s">
        <v>312</v>
      </c>
      <c r="C182" s="401" t="s">
        <v>306</v>
      </c>
      <c r="D182" s="402"/>
      <c r="E182" s="402"/>
      <c r="F182" s="402"/>
      <c r="G182" s="403"/>
      <c r="H182" s="245" t="s">
        <v>308</v>
      </c>
      <c r="I182" s="245" t="s">
        <v>309</v>
      </c>
      <c r="J182" s="404" t="s">
        <v>310</v>
      </c>
      <c r="K182" s="405"/>
      <c r="L182" s="256" t="s">
        <v>313</v>
      </c>
      <c r="M182" s="245" t="s">
        <v>314</v>
      </c>
      <c r="N182" s="246"/>
      <c r="O182" s="246"/>
      <c r="P182" s="245"/>
      <c r="Q182" s="256"/>
      <c r="R182" s="256"/>
      <c r="S182" s="328"/>
      <c r="T182" s="245"/>
    </row>
    <row r="183" spans="1:20" hidden="1" x14ac:dyDescent="0.25">
      <c r="A183" s="271">
        <v>10</v>
      </c>
      <c r="B183" s="267" t="s">
        <v>307</v>
      </c>
      <c r="C183" s="267">
        <v>18</v>
      </c>
      <c r="D183" s="270">
        <v>17</v>
      </c>
      <c r="E183" s="270"/>
      <c r="F183" s="270"/>
      <c r="G183" s="270"/>
      <c r="H183" s="270">
        <v>75</v>
      </c>
      <c r="I183" s="270"/>
      <c r="J183" s="270"/>
      <c r="K183" s="270"/>
      <c r="L183" s="267"/>
      <c r="M183" s="270"/>
      <c r="N183" s="270"/>
      <c r="O183" s="270"/>
      <c r="P183" s="270"/>
      <c r="Q183" s="267"/>
      <c r="R183" s="329"/>
      <c r="S183" s="267"/>
      <c r="T183" s="270"/>
    </row>
    <row r="184" spans="1:20" hidden="1" x14ac:dyDescent="0.25">
      <c r="B184" s="253" t="s">
        <v>225</v>
      </c>
      <c r="C184" s="267"/>
      <c r="D184" s="270"/>
      <c r="E184" s="270"/>
      <c r="F184" s="270"/>
      <c r="G184" s="270"/>
      <c r="H184" s="270"/>
      <c r="I184" s="270"/>
      <c r="J184" s="270"/>
      <c r="K184" s="270"/>
      <c r="L184" s="267"/>
      <c r="M184" s="270"/>
      <c r="N184" s="278"/>
      <c r="O184" s="270"/>
      <c r="P184" s="270"/>
      <c r="Q184" s="329"/>
      <c r="R184" s="267"/>
      <c r="S184" s="329"/>
      <c r="T184" s="278"/>
    </row>
    <row r="185" spans="1:20" hidden="1" x14ac:dyDescent="0.25">
      <c r="B185" s="253" t="s">
        <v>225</v>
      </c>
      <c r="C185" s="267"/>
      <c r="D185" s="270"/>
      <c r="E185" s="270"/>
      <c r="F185" s="270"/>
      <c r="G185" s="270"/>
      <c r="H185" s="270"/>
      <c r="I185" s="270"/>
      <c r="J185" s="270"/>
      <c r="K185" s="270"/>
      <c r="L185" s="267"/>
      <c r="M185" s="270"/>
      <c r="N185" s="278"/>
      <c r="O185" s="278"/>
      <c r="P185" s="270"/>
      <c r="Q185" s="267"/>
      <c r="R185" s="267"/>
      <c r="S185" s="329"/>
      <c r="T185" s="278"/>
    </row>
    <row r="186" spans="1:20" ht="30" hidden="1" x14ac:dyDescent="0.25">
      <c r="B186" s="239" t="s">
        <v>283</v>
      </c>
      <c r="C186" s="267"/>
      <c r="D186" s="270"/>
      <c r="E186" s="270"/>
      <c r="F186" s="270"/>
      <c r="G186" s="270"/>
      <c r="H186" s="245"/>
      <c r="I186" s="270"/>
      <c r="J186" s="270"/>
      <c r="K186" s="270"/>
      <c r="L186" s="267"/>
      <c r="M186" s="270"/>
      <c r="N186" s="278"/>
      <c r="O186" s="270"/>
      <c r="P186" s="270"/>
      <c r="Q186" s="267"/>
      <c r="R186" s="267"/>
      <c r="S186" s="329"/>
      <c r="T186" s="270"/>
    </row>
    <row r="187" spans="1:20" hidden="1" x14ac:dyDescent="0.25">
      <c r="B187" s="257" t="s">
        <v>317</v>
      </c>
      <c r="C187" s="267"/>
      <c r="D187" s="270"/>
      <c r="E187" s="270"/>
      <c r="F187" s="270"/>
      <c r="G187" s="270"/>
      <c r="H187" s="270"/>
      <c r="I187" s="270"/>
      <c r="J187" s="270"/>
      <c r="K187" s="270"/>
      <c r="L187" s="267"/>
      <c r="M187" s="270"/>
      <c r="N187" s="281"/>
      <c r="O187" s="270"/>
      <c r="P187" s="278"/>
      <c r="Q187" s="267"/>
      <c r="R187" s="267"/>
      <c r="S187" s="329"/>
      <c r="T187" s="270"/>
    </row>
    <row r="188" spans="1:20" ht="60" hidden="1" x14ac:dyDescent="0.25">
      <c r="B188" s="260" t="s">
        <v>289</v>
      </c>
      <c r="C188" s="267"/>
      <c r="D188" s="270"/>
      <c r="E188" s="270"/>
      <c r="F188" s="270"/>
      <c r="G188" s="270"/>
      <c r="H188" s="270"/>
      <c r="I188" s="270"/>
      <c r="J188" s="270"/>
      <c r="K188" s="270"/>
      <c r="L188" s="267"/>
      <c r="M188" s="270"/>
      <c r="N188" s="281"/>
      <c r="O188" s="270"/>
      <c r="P188" s="270"/>
      <c r="Q188" s="267"/>
      <c r="R188" s="267"/>
      <c r="S188" s="329"/>
      <c r="T188" s="278"/>
    </row>
    <row r="189" spans="1:20" ht="45" hidden="1" x14ac:dyDescent="0.25">
      <c r="B189" s="260" t="s">
        <v>290</v>
      </c>
      <c r="C189" s="267"/>
      <c r="D189" s="270"/>
      <c r="E189" s="270"/>
      <c r="F189" s="270"/>
      <c r="G189" s="270"/>
      <c r="H189" s="270"/>
      <c r="I189" s="270"/>
      <c r="J189" s="270"/>
      <c r="K189" s="270"/>
      <c r="L189" s="267"/>
      <c r="M189" s="270"/>
      <c r="N189" s="278"/>
      <c r="O189" s="270"/>
      <c r="P189" s="270"/>
      <c r="Q189" s="267"/>
      <c r="R189" s="267"/>
      <c r="S189" s="329"/>
      <c r="T189" s="270"/>
    </row>
    <row r="190" spans="1:20" hidden="1" x14ac:dyDescent="0.25">
      <c r="B190" s="282" t="s">
        <v>316</v>
      </c>
      <c r="C190" s="267"/>
      <c r="D190" s="270"/>
      <c r="E190" s="270"/>
      <c r="F190" s="270"/>
      <c r="G190" s="270"/>
      <c r="H190" s="270"/>
      <c r="I190" s="270"/>
      <c r="J190" s="270"/>
      <c r="K190" s="270"/>
      <c r="L190" s="267"/>
      <c r="M190" s="270"/>
      <c r="N190" s="278"/>
      <c r="O190" s="270"/>
      <c r="P190" s="270"/>
      <c r="Q190" s="267"/>
      <c r="R190" s="267"/>
      <c r="S190" s="329"/>
      <c r="T190" s="270"/>
    </row>
    <row r="191" spans="1:20" hidden="1" x14ac:dyDescent="0.25"/>
    <row r="192" spans="1:20" hidden="1" x14ac:dyDescent="0.25"/>
    <row r="193" spans="1:20" hidden="1" x14ac:dyDescent="0.25">
      <c r="B193" s="272" t="s">
        <v>312</v>
      </c>
      <c r="C193" s="401" t="s">
        <v>306</v>
      </c>
      <c r="D193" s="402"/>
      <c r="E193" s="402"/>
      <c r="F193" s="402"/>
      <c r="G193" s="403"/>
      <c r="H193" s="245" t="s">
        <v>308</v>
      </c>
      <c r="I193" s="245" t="s">
        <v>309</v>
      </c>
      <c r="J193" s="404" t="s">
        <v>310</v>
      </c>
      <c r="K193" s="405"/>
      <c r="L193" s="256" t="s">
        <v>313</v>
      </c>
      <c r="M193" s="245" t="s">
        <v>314</v>
      </c>
      <c r="N193" s="246"/>
      <c r="O193" s="246"/>
      <c r="P193" s="245"/>
      <c r="Q193" s="256"/>
      <c r="R193" s="256"/>
      <c r="S193" s="328"/>
      <c r="T193" s="245"/>
    </row>
    <row r="194" spans="1:20" hidden="1" x14ac:dyDescent="0.25">
      <c r="A194" s="271">
        <v>12</v>
      </c>
      <c r="B194" s="275" t="s">
        <v>307</v>
      </c>
      <c r="C194" s="267">
        <v>29</v>
      </c>
      <c r="D194" s="270">
        <v>70</v>
      </c>
      <c r="E194" s="270"/>
      <c r="F194" s="270"/>
      <c r="G194" s="270"/>
      <c r="H194" s="270">
        <v>67</v>
      </c>
      <c r="I194" s="270"/>
      <c r="J194" s="270"/>
      <c r="K194" s="270"/>
      <c r="L194" s="267"/>
      <c r="M194" s="270"/>
      <c r="N194" s="270"/>
      <c r="O194" s="270"/>
      <c r="P194" s="270"/>
      <c r="Q194" s="267"/>
      <c r="R194" s="329"/>
      <c r="S194" s="267"/>
      <c r="T194" s="270"/>
    </row>
    <row r="195" spans="1:20" hidden="1" x14ac:dyDescent="0.25">
      <c r="B195" s="253" t="s">
        <v>225</v>
      </c>
      <c r="C195" s="267"/>
      <c r="D195" s="270"/>
      <c r="E195" s="270"/>
      <c r="F195" s="270"/>
      <c r="G195" s="270"/>
      <c r="H195" s="270"/>
      <c r="I195" s="270"/>
      <c r="J195" s="270"/>
      <c r="K195" s="270"/>
      <c r="L195" s="267"/>
      <c r="M195" s="270"/>
      <c r="N195" s="278"/>
      <c r="O195" s="278"/>
      <c r="P195" s="270"/>
      <c r="Q195" s="329"/>
      <c r="R195" s="267"/>
      <c r="S195" s="329"/>
      <c r="T195" s="278"/>
    </row>
    <row r="196" spans="1:20" hidden="1" x14ac:dyDescent="0.25">
      <c r="B196" s="253" t="s">
        <v>225</v>
      </c>
      <c r="C196" s="267"/>
      <c r="D196" s="270"/>
      <c r="E196" s="270"/>
      <c r="F196" s="270"/>
      <c r="G196" s="270"/>
      <c r="H196" s="270"/>
      <c r="I196" s="270"/>
      <c r="J196" s="270"/>
      <c r="K196" s="270"/>
      <c r="L196" s="267"/>
      <c r="M196" s="270"/>
      <c r="N196" s="278"/>
      <c r="O196" s="278"/>
      <c r="P196" s="270"/>
      <c r="Q196" s="267"/>
      <c r="R196" s="267"/>
      <c r="S196" s="329"/>
      <c r="T196" s="278"/>
    </row>
    <row r="197" spans="1:20" ht="30" hidden="1" x14ac:dyDescent="0.25">
      <c r="B197" s="239" t="s">
        <v>283</v>
      </c>
      <c r="C197" s="267"/>
      <c r="D197" s="270"/>
      <c r="E197" s="270"/>
      <c r="F197" s="270"/>
      <c r="G197" s="270"/>
      <c r="H197" s="245"/>
      <c r="I197" s="270"/>
      <c r="J197" s="270"/>
      <c r="K197" s="270"/>
      <c r="L197" s="267"/>
      <c r="M197" s="270"/>
      <c r="N197" s="278"/>
      <c r="O197" s="270"/>
      <c r="P197" s="270"/>
      <c r="Q197" s="267"/>
      <c r="R197" s="267"/>
      <c r="S197" s="329"/>
      <c r="T197" s="270"/>
    </row>
    <row r="198" spans="1:20" ht="60" hidden="1" x14ac:dyDescent="0.25">
      <c r="B198" s="260" t="s">
        <v>289</v>
      </c>
      <c r="C198" s="267"/>
      <c r="D198" s="270"/>
      <c r="E198" s="270"/>
      <c r="F198" s="270"/>
      <c r="G198" s="270"/>
      <c r="H198" s="270"/>
      <c r="I198" s="270"/>
      <c r="J198" s="270"/>
      <c r="K198" s="270"/>
      <c r="L198" s="267"/>
      <c r="M198" s="270"/>
      <c r="N198" s="281"/>
      <c r="O198" s="270"/>
      <c r="P198" s="281"/>
      <c r="Q198" s="267"/>
      <c r="R198" s="267"/>
      <c r="S198" s="329"/>
      <c r="T198" s="270"/>
    </row>
    <row r="199" spans="1:20" ht="45" hidden="1" x14ac:dyDescent="0.25">
      <c r="B199" s="260" t="s">
        <v>290</v>
      </c>
      <c r="C199" s="267"/>
      <c r="D199" s="270"/>
      <c r="E199" s="270"/>
      <c r="F199" s="270"/>
      <c r="G199" s="270"/>
      <c r="H199" s="270"/>
      <c r="I199" s="270"/>
      <c r="J199" s="270"/>
      <c r="K199" s="270"/>
      <c r="L199" s="267"/>
      <c r="M199" s="270"/>
      <c r="N199" s="278"/>
      <c r="O199" s="270"/>
      <c r="P199" s="270"/>
      <c r="Q199" s="267"/>
      <c r="R199" s="267"/>
      <c r="S199" s="329"/>
      <c r="T199" s="278"/>
    </row>
    <row r="200" spans="1:20" hidden="1" x14ac:dyDescent="0.25">
      <c r="B200" s="282" t="s">
        <v>316</v>
      </c>
      <c r="C200" s="267"/>
      <c r="D200" s="270"/>
      <c r="E200" s="270"/>
      <c r="F200" s="270"/>
      <c r="G200" s="270"/>
      <c r="H200" s="270"/>
      <c r="I200" s="270"/>
      <c r="J200" s="270"/>
      <c r="K200" s="270"/>
      <c r="L200" s="267"/>
      <c r="M200" s="270"/>
      <c r="N200" s="278"/>
      <c r="O200" s="270"/>
      <c r="P200" s="270"/>
      <c r="Q200" s="267"/>
      <c r="R200" s="267"/>
      <c r="S200" s="329"/>
      <c r="T200" s="270"/>
    </row>
    <row r="201" spans="1:20" hidden="1" x14ac:dyDescent="0.25"/>
    <row r="202" spans="1:20" hidden="1" x14ac:dyDescent="0.25"/>
    <row r="203" spans="1:20" hidden="1" x14ac:dyDescent="0.25">
      <c r="A203" s="271">
        <v>13</v>
      </c>
      <c r="B203" s="272" t="s">
        <v>312</v>
      </c>
      <c r="C203" s="401" t="s">
        <v>306</v>
      </c>
      <c r="D203" s="402"/>
      <c r="E203" s="402"/>
      <c r="F203" s="402"/>
      <c r="G203" s="403"/>
      <c r="H203" s="245" t="s">
        <v>308</v>
      </c>
      <c r="I203" s="245" t="s">
        <v>309</v>
      </c>
      <c r="J203" s="404" t="s">
        <v>310</v>
      </c>
      <c r="K203" s="405"/>
      <c r="L203" s="256" t="s">
        <v>313</v>
      </c>
      <c r="M203" s="245" t="s">
        <v>314</v>
      </c>
      <c r="N203" s="246"/>
      <c r="O203" s="246"/>
      <c r="P203" s="245"/>
      <c r="Q203" s="256"/>
      <c r="R203" s="256"/>
      <c r="S203" s="328"/>
      <c r="T203" s="245"/>
    </row>
    <row r="204" spans="1:20" hidden="1" x14ac:dyDescent="0.25">
      <c r="B204" s="275" t="s">
        <v>307</v>
      </c>
      <c r="C204" s="267">
        <v>1</v>
      </c>
      <c r="D204" s="270">
        <v>44</v>
      </c>
      <c r="E204" s="270"/>
      <c r="F204" s="270"/>
      <c r="G204" s="270"/>
      <c r="H204" s="270">
        <v>73</v>
      </c>
      <c r="I204" s="270"/>
      <c r="J204" s="270"/>
      <c r="K204" s="270"/>
      <c r="L204" s="267">
        <v>45</v>
      </c>
      <c r="M204" s="270">
        <v>73</v>
      </c>
      <c r="N204" s="270"/>
      <c r="O204" s="270"/>
      <c r="P204" s="270"/>
      <c r="Q204" s="267"/>
      <c r="R204" s="329"/>
      <c r="S204" s="267"/>
      <c r="T204" s="270"/>
    </row>
    <row r="205" spans="1:20" hidden="1" x14ac:dyDescent="0.25">
      <c r="B205" s="253" t="s">
        <v>225</v>
      </c>
      <c r="C205" s="267"/>
      <c r="D205" s="270"/>
      <c r="E205" s="270"/>
      <c r="F205" s="270"/>
      <c r="G205" s="270"/>
      <c r="H205" s="270"/>
      <c r="I205" s="270"/>
      <c r="J205" s="270"/>
      <c r="K205" s="270"/>
      <c r="L205" s="267"/>
      <c r="M205" s="270"/>
      <c r="N205" s="278"/>
      <c r="O205" s="278"/>
      <c r="P205" s="270"/>
      <c r="Q205" s="329"/>
      <c r="R205" s="267"/>
      <c r="S205" s="329"/>
      <c r="T205" s="278"/>
    </row>
    <row r="206" spans="1:20" hidden="1" x14ac:dyDescent="0.25">
      <c r="B206" s="253" t="s">
        <v>225</v>
      </c>
      <c r="C206" s="267"/>
      <c r="D206" s="270"/>
      <c r="E206" s="270"/>
      <c r="F206" s="270"/>
      <c r="G206" s="270"/>
      <c r="H206" s="270"/>
      <c r="I206" s="270"/>
      <c r="J206" s="270"/>
      <c r="K206" s="270"/>
      <c r="L206" s="267"/>
      <c r="M206" s="270"/>
      <c r="N206" s="278"/>
      <c r="O206" s="278"/>
      <c r="P206" s="270"/>
      <c r="Q206" s="267"/>
      <c r="R206" s="267"/>
      <c r="S206" s="329"/>
      <c r="T206" s="278"/>
    </row>
    <row r="207" spans="1:20" ht="30" hidden="1" x14ac:dyDescent="0.25">
      <c r="B207" s="239" t="s">
        <v>283</v>
      </c>
      <c r="C207" s="267"/>
      <c r="D207" s="270"/>
      <c r="E207" s="270"/>
      <c r="F207" s="270"/>
      <c r="G207" s="270"/>
      <c r="H207" s="245"/>
      <c r="I207" s="270"/>
      <c r="J207" s="270"/>
      <c r="K207" s="270"/>
      <c r="L207" s="267"/>
      <c r="M207" s="270"/>
      <c r="N207" s="278"/>
      <c r="O207" s="270"/>
      <c r="P207" s="270"/>
      <c r="Q207" s="267"/>
      <c r="R207" s="267"/>
      <c r="S207" s="329"/>
      <c r="T207" s="270"/>
    </row>
    <row r="208" spans="1:20" hidden="1" x14ac:dyDescent="0.25">
      <c r="B208" s="257" t="s">
        <v>318</v>
      </c>
      <c r="C208" s="267"/>
      <c r="D208" s="270"/>
      <c r="E208" s="270"/>
      <c r="F208" s="270"/>
      <c r="G208" s="270"/>
      <c r="H208" s="270"/>
      <c r="I208" s="270"/>
      <c r="J208" s="270"/>
      <c r="K208" s="270"/>
      <c r="L208" s="267"/>
      <c r="M208" s="270"/>
      <c r="N208" s="278"/>
      <c r="O208" s="270"/>
      <c r="P208" s="270"/>
      <c r="Q208" s="267"/>
      <c r="R208" s="267"/>
      <c r="S208" s="329"/>
      <c r="T208" s="270"/>
    </row>
    <row r="209" spans="1:20" ht="60" hidden="1" x14ac:dyDescent="0.25">
      <c r="B209" s="260" t="s">
        <v>289</v>
      </c>
      <c r="C209" s="267"/>
      <c r="D209" s="270"/>
      <c r="E209" s="270"/>
      <c r="F209" s="270"/>
      <c r="G209" s="270"/>
      <c r="H209" s="270"/>
      <c r="I209" s="270"/>
      <c r="J209" s="270"/>
      <c r="K209" s="270"/>
      <c r="L209" s="267"/>
      <c r="M209" s="270"/>
      <c r="N209" s="281"/>
      <c r="O209" s="270"/>
      <c r="P209" s="284"/>
      <c r="Q209" s="267"/>
      <c r="R209" s="267"/>
      <c r="S209" s="329"/>
      <c r="T209" s="278"/>
    </row>
    <row r="210" spans="1:20" ht="45" hidden="1" x14ac:dyDescent="0.25">
      <c r="B210" s="260" t="s">
        <v>290</v>
      </c>
      <c r="C210" s="267"/>
      <c r="D210" s="270"/>
      <c r="E210" s="270"/>
      <c r="F210" s="270"/>
      <c r="G210" s="270"/>
      <c r="H210" s="270"/>
      <c r="I210" s="270"/>
      <c r="J210" s="270"/>
      <c r="K210" s="270"/>
      <c r="L210" s="267"/>
      <c r="M210" s="270"/>
      <c r="N210" s="278"/>
      <c r="O210" s="270"/>
      <c r="P210" s="270"/>
      <c r="Q210" s="267"/>
      <c r="R210" s="267"/>
      <c r="S210" s="329"/>
      <c r="T210" s="270"/>
    </row>
    <row r="211" spans="1:20" hidden="1" x14ac:dyDescent="0.25">
      <c r="B211" s="282" t="s">
        <v>316</v>
      </c>
      <c r="C211" s="267"/>
      <c r="D211" s="270"/>
      <c r="E211" s="270"/>
      <c r="F211" s="270"/>
      <c r="G211" s="270"/>
      <c r="H211" s="270"/>
      <c r="I211" s="270"/>
      <c r="J211" s="270"/>
      <c r="K211" s="270"/>
      <c r="L211" s="267"/>
      <c r="M211" s="270"/>
      <c r="N211" s="278"/>
      <c r="O211" s="270"/>
      <c r="P211" s="270"/>
      <c r="Q211" s="267"/>
      <c r="R211" s="267"/>
      <c r="S211" s="329"/>
      <c r="T211" s="270"/>
    </row>
    <row r="212" spans="1:20" hidden="1" x14ac:dyDescent="0.25"/>
    <row r="213" spans="1:20" hidden="1" x14ac:dyDescent="0.25"/>
    <row r="214" spans="1:20" hidden="1" x14ac:dyDescent="0.25">
      <c r="A214" s="271">
        <v>14</v>
      </c>
      <c r="B214" s="272" t="s">
        <v>312</v>
      </c>
      <c r="C214" s="401" t="s">
        <v>306</v>
      </c>
      <c r="D214" s="402"/>
      <c r="E214" s="402"/>
      <c r="F214" s="402"/>
      <c r="G214" s="403"/>
      <c r="H214" s="245" t="s">
        <v>308</v>
      </c>
      <c r="I214" s="245" t="s">
        <v>309</v>
      </c>
      <c r="J214" s="404" t="s">
        <v>310</v>
      </c>
      <c r="K214" s="405"/>
      <c r="L214" s="256" t="s">
        <v>313</v>
      </c>
      <c r="M214" s="245" t="s">
        <v>314</v>
      </c>
      <c r="N214" s="246"/>
      <c r="O214" s="246"/>
      <c r="P214" s="245"/>
      <c r="Q214" s="256"/>
      <c r="R214" s="256"/>
      <c r="S214" s="328"/>
      <c r="T214" s="245"/>
    </row>
    <row r="215" spans="1:20" hidden="1" x14ac:dyDescent="0.25">
      <c r="B215" s="275" t="s">
        <v>307</v>
      </c>
      <c r="C215" s="267">
        <v>32</v>
      </c>
      <c r="D215" s="270"/>
      <c r="E215" s="270"/>
      <c r="F215" s="270"/>
      <c r="G215" s="270"/>
      <c r="H215" s="270">
        <v>198</v>
      </c>
      <c r="I215" s="270"/>
      <c r="J215" s="270"/>
      <c r="K215" s="270">
        <v>10</v>
      </c>
      <c r="L215" s="267"/>
      <c r="M215" s="270">
        <v>198</v>
      </c>
      <c r="N215" s="270"/>
      <c r="O215" s="270"/>
      <c r="P215" s="270"/>
      <c r="Q215" s="267"/>
      <c r="R215" s="329"/>
      <c r="S215" s="267"/>
      <c r="T215" s="270"/>
    </row>
    <row r="216" spans="1:20" hidden="1" x14ac:dyDescent="0.25">
      <c r="B216" s="253" t="s">
        <v>225</v>
      </c>
      <c r="C216" s="267"/>
      <c r="D216" s="270"/>
      <c r="E216" s="270"/>
      <c r="F216" s="270"/>
      <c r="G216" s="270"/>
      <c r="H216" s="270"/>
      <c r="I216" s="270"/>
      <c r="J216" s="270"/>
      <c r="K216" s="270"/>
      <c r="L216" s="267"/>
      <c r="M216" s="270"/>
      <c r="N216" s="278"/>
      <c r="O216" s="278"/>
      <c r="P216" s="270"/>
      <c r="Q216" s="329"/>
      <c r="R216" s="267"/>
      <c r="S216" s="329"/>
      <c r="T216" s="278"/>
    </row>
    <row r="217" spans="1:20" hidden="1" x14ac:dyDescent="0.25">
      <c r="B217" s="253" t="s">
        <v>225</v>
      </c>
      <c r="C217" s="267"/>
      <c r="D217" s="270"/>
      <c r="E217" s="270"/>
      <c r="F217" s="270"/>
      <c r="G217" s="270"/>
      <c r="H217" s="270"/>
      <c r="I217" s="270"/>
      <c r="J217" s="270"/>
      <c r="K217" s="270"/>
      <c r="L217" s="267"/>
      <c r="M217" s="270"/>
      <c r="N217" s="278"/>
      <c r="O217" s="278"/>
      <c r="P217" s="270"/>
      <c r="Q217" s="267"/>
      <c r="R217" s="267"/>
      <c r="S217" s="329"/>
      <c r="T217" s="278"/>
    </row>
    <row r="218" spans="1:20" ht="30" hidden="1" x14ac:dyDescent="0.25">
      <c r="B218" s="239" t="s">
        <v>283</v>
      </c>
      <c r="C218" s="267"/>
      <c r="D218" s="270"/>
      <c r="E218" s="270"/>
      <c r="F218" s="270"/>
      <c r="G218" s="270"/>
      <c r="H218" s="245"/>
      <c r="I218" s="270"/>
      <c r="J218" s="270"/>
      <c r="K218" s="270"/>
      <c r="L218" s="267"/>
      <c r="M218" s="270"/>
      <c r="N218" s="278"/>
      <c r="O218" s="270"/>
      <c r="P218" s="270"/>
      <c r="Q218" s="267"/>
      <c r="R218" s="267"/>
      <c r="S218" s="329"/>
      <c r="T218" s="270"/>
    </row>
    <row r="219" spans="1:20" hidden="1" x14ac:dyDescent="0.25">
      <c r="B219" s="257" t="s">
        <v>318</v>
      </c>
      <c r="C219" s="267"/>
      <c r="D219" s="270"/>
      <c r="E219" s="270"/>
      <c r="F219" s="270"/>
      <c r="G219" s="270"/>
      <c r="H219" s="270"/>
      <c r="I219" s="270"/>
      <c r="J219" s="270"/>
      <c r="K219" s="270"/>
      <c r="L219" s="267"/>
      <c r="M219" s="270"/>
      <c r="N219" s="278"/>
      <c r="O219" s="270"/>
      <c r="P219" s="270"/>
      <c r="Q219" s="267"/>
      <c r="R219" s="267"/>
      <c r="S219" s="329"/>
      <c r="T219" s="270"/>
    </row>
    <row r="220" spans="1:20" ht="60" hidden="1" x14ac:dyDescent="0.25">
      <c r="B220" s="260" t="s">
        <v>289</v>
      </c>
      <c r="C220" s="267"/>
      <c r="D220" s="270"/>
      <c r="E220" s="270"/>
      <c r="F220" s="270"/>
      <c r="G220" s="270"/>
      <c r="H220" s="270"/>
      <c r="I220" s="270"/>
      <c r="J220" s="270"/>
      <c r="K220" s="270"/>
      <c r="L220" s="267"/>
      <c r="M220" s="270"/>
      <c r="N220" s="281"/>
      <c r="O220" s="270"/>
      <c r="P220" s="284"/>
      <c r="Q220" s="267"/>
      <c r="R220" s="267"/>
      <c r="S220" s="329"/>
      <c r="T220" s="278"/>
    </row>
    <row r="221" spans="1:20" ht="45" hidden="1" x14ac:dyDescent="0.25">
      <c r="B221" s="260" t="s">
        <v>290</v>
      </c>
      <c r="C221" s="267"/>
      <c r="D221" s="270"/>
      <c r="E221" s="270"/>
      <c r="F221" s="270"/>
      <c r="G221" s="270"/>
      <c r="H221" s="270"/>
      <c r="I221" s="270"/>
      <c r="J221" s="270"/>
      <c r="K221" s="270"/>
      <c r="L221" s="267"/>
      <c r="M221" s="270"/>
      <c r="N221" s="278"/>
      <c r="O221" s="270"/>
      <c r="P221" s="270"/>
      <c r="Q221" s="267"/>
      <c r="R221" s="267"/>
      <c r="S221" s="329"/>
      <c r="T221" s="270"/>
    </row>
    <row r="222" spans="1:20" hidden="1" x14ac:dyDescent="0.25">
      <c r="B222" s="282" t="s">
        <v>316</v>
      </c>
      <c r="C222" s="267"/>
      <c r="D222" s="270"/>
      <c r="E222" s="270"/>
      <c r="F222" s="270"/>
      <c r="G222" s="270"/>
      <c r="H222" s="270"/>
      <c r="I222" s="270"/>
      <c r="J222" s="270"/>
      <c r="K222" s="270"/>
      <c r="L222" s="267"/>
      <c r="M222" s="270"/>
      <c r="N222" s="278"/>
      <c r="O222" s="270"/>
      <c r="P222" s="270"/>
      <c r="Q222" s="267"/>
      <c r="R222" s="267"/>
      <c r="S222" s="329"/>
      <c r="T222" s="270"/>
    </row>
    <row r="223" spans="1:20" hidden="1" x14ac:dyDescent="0.25"/>
    <row r="224" spans="1:20" hidden="1" x14ac:dyDescent="0.25"/>
    <row r="225" spans="1:20" hidden="1" x14ac:dyDescent="0.25">
      <c r="A225" s="271">
        <v>15</v>
      </c>
      <c r="B225" s="272" t="s">
        <v>312</v>
      </c>
      <c r="C225" s="401" t="s">
        <v>306</v>
      </c>
      <c r="D225" s="402"/>
      <c r="E225" s="402"/>
      <c r="F225" s="402"/>
      <c r="G225" s="403"/>
      <c r="H225" s="245" t="s">
        <v>308</v>
      </c>
      <c r="I225" s="245" t="s">
        <v>309</v>
      </c>
      <c r="J225" s="404" t="s">
        <v>310</v>
      </c>
      <c r="K225" s="405"/>
      <c r="L225" s="256" t="s">
        <v>313</v>
      </c>
      <c r="M225" s="245" t="s">
        <v>314</v>
      </c>
      <c r="N225" s="246"/>
      <c r="O225" s="246"/>
      <c r="P225" s="245"/>
      <c r="Q225" s="256"/>
      <c r="R225" s="256"/>
      <c r="S225" s="328"/>
      <c r="T225" s="245"/>
    </row>
    <row r="226" spans="1:20" hidden="1" x14ac:dyDescent="0.25">
      <c r="B226" s="275" t="s">
        <v>307</v>
      </c>
      <c r="C226" s="267">
        <v>36</v>
      </c>
      <c r="D226" s="270"/>
      <c r="E226" s="270"/>
      <c r="F226" s="270"/>
      <c r="G226" s="270"/>
      <c r="H226" s="270">
        <v>96</v>
      </c>
      <c r="I226" s="270"/>
      <c r="J226" s="270"/>
      <c r="K226" s="270"/>
      <c r="L226" s="267"/>
      <c r="M226" s="270"/>
      <c r="N226" s="270"/>
      <c r="O226" s="270"/>
      <c r="P226" s="270"/>
      <c r="Q226" s="267"/>
      <c r="R226" s="329"/>
      <c r="S226" s="267"/>
      <c r="T226" s="270"/>
    </row>
    <row r="227" spans="1:20" hidden="1" x14ac:dyDescent="0.25">
      <c r="B227" s="253" t="s">
        <v>225</v>
      </c>
      <c r="C227" s="267"/>
      <c r="D227" s="270"/>
      <c r="E227" s="270"/>
      <c r="F227" s="270"/>
      <c r="G227" s="270"/>
      <c r="H227" s="270"/>
      <c r="I227" s="270"/>
      <c r="J227" s="270"/>
      <c r="K227" s="270"/>
      <c r="L227" s="267"/>
      <c r="M227" s="270"/>
      <c r="N227" s="278"/>
      <c r="O227" s="278"/>
      <c r="P227" s="270"/>
      <c r="Q227" s="329"/>
      <c r="R227" s="267"/>
      <c r="S227" s="329"/>
      <c r="T227" s="278"/>
    </row>
    <row r="228" spans="1:20" hidden="1" x14ac:dyDescent="0.25">
      <c r="B228" s="253" t="s">
        <v>225</v>
      </c>
      <c r="C228" s="267"/>
      <c r="D228" s="270"/>
      <c r="E228" s="270"/>
      <c r="F228" s="270"/>
      <c r="G228" s="270"/>
      <c r="H228" s="270"/>
      <c r="I228" s="270"/>
      <c r="J228" s="270"/>
      <c r="K228" s="270"/>
      <c r="L228" s="267"/>
      <c r="M228" s="270"/>
      <c r="N228" s="278"/>
      <c r="O228" s="278"/>
      <c r="P228" s="270"/>
      <c r="Q228" s="267"/>
      <c r="R228" s="267"/>
      <c r="S228" s="329"/>
      <c r="T228" s="278"/>
    </row>
    <row r="229" spans="1:20" ht="30" hidden="1" x14ac:dyDescent="0.25">
      <c r="B229" s="239" t="s">
        <v>283</v>
      </c>
      <c r="C229" s="267"/>
      <c r="D229" s="270"/>
      <c r="E229" s="270"/>
      <c r="F229" s="270"/>
      <c r="G229" s="270"/>
      <c r="H229" s="245"/>
      <c r="I229" s="270"/>
      <c r="J229" s="270"/>
      <c r="K229" s="270"/>
      <c r="L229" s="267"/>
      <c r="M229" s="270"/>
      <c r="N229" s="278"/>
      <c r="O229" s="270"/>
      <c r="P229" s="270"/>
      <c r="Q229" s="267"/>
      <c r="R229" s="267"/>
      <c r="S229" s="329"/>
      <c r="T229" s="270"/>
    </row>
    <row r="230" spans="1:20" hidden="1" x14ac:dyDescent="0.25">
      <c r="B230" s="257" t="s">
        <v>318</v>
      </c>
      <c r="C230" s="267"/>
      <c r="D230" s="270"/>
      <c r="E230" s="270"/>
      <c r="F230" s="270"/>
      <c r="G230" s="270"/>
      <c r="H230" s="270"/>
      <c r="I230" s="270"/>
      <c r="J230" s="270"/>
      <c r="K230" s="270"/>
      <c r="L230" s="267"/>
      <c r="M230" s="270"/>
      <c r="N230" s="278"/>
      <c r="O230" s="270"/>
      <c r="P230" s="270"/>
      <c r="Q230" s="267"/>
      <c r="R230" s="267"/>
      <c r="S230" s="329"/>
      <c r="T230" s="270"/>
    </row>
    <row r="231" spans="1:20" ht="60" hidden="1" x14ac:dyDescent="0.25">
      <c r="B231" s="260" t="s">
        <v>289</v>
      </c>
      <c r="C231" s="267"/>
      <c r="D231" s="270"/>
      <c r="E231" s="270"/>
      <c r="F231" s="270"/>
      <c r="G231" s="270"/>
      <c r="H231" s="270"/>
      <c r="I231" s="270"/>
      <c r="J231" s="270"/>
      <c r="K231" s="270"/>
      <c r="L231" s="267"/>
      <c r="M231" s="270"/>
      <c r="N231" s="281"/>
      <c r="O231" s="270"/>
      <c r="P231" s="281"/>
      <c r="Q231" s="267"/>
      <c r="R231" s="267"/>
      <c r="S231" s="329"/>
      <c r="T231" s="278"/>
    </row>
    <row r="232" spans="1:20" ht="45" hidden="1" x14ac:dyDescent="0.25">
      <c r="B232" s="260" t="s">
        <v>290</v>
      </c>
      <c r="C232" s="267"/>
      <c r="D232" s="270"/>
      <c r="E232" s="270"/>
      <c r="F232" s="270"/>
      <c r="G232" s="270"/>
      <c r="H232" s="270"/>
      <c r="I232" s="270"/>
      <c r="J232" s="270"/>
      <c r="K232" s="270"/>
      <c r="L232" s="267"/>
      <c r="M232" s="270"/>
      <c r="N232" s="278"/>
      <c r="O232" s="270"/>
      <c r="P232" s="270"/>
      <c r="Q232" s="267"/>
      <c r="R232" s="267"/>
      <c r="S232" s="329"/>
      <c r="T232" s="270"/>
    </row>
    <row r="233" spans="1:20" hidden="1" x14ac:dyDescent="0.25">
      <c r="B233" s="282" t="s">
        <v>316</v>
      </c>
      <c r="C233" s="267"/>
      <c r="D233" s="270"/>
      <c r="E233" s="270"/>
      <c r="F233" s="270"/>
      <c r="G233" s="270"/>
      <c r="H233" s="270"/>
      <c r="I233" s="270"/>
      <c r="J233" s="270"/>
      <c r="K233" s="270"/>
      <c r="L233" s="267"/>
      <c r="M233" s="270"/>
      <c r="N233" s="278"/>
      <c r="O233" s="270"/>
      <c r="P233" s="270"/>
      <c r="Q233" s="267"/>
      <c r="R233" s="267"/>
      <c r="S233" s="329"/>
      <c r="T233" s="270"/>
    </row>
    <row r="234" spans="1:20" hidden="1" x14ac:dyDescent="0.25"/>
    <row r="235" spans="1:20" hidden="1" x14ac:dyDescent="0.25"/>
    <row r="236" spans="1:20" hidden="1" x14ac:dyDescent="0.25">
      <c r="A236" s="271">
        <v>17</v>
      </c>
      <c r="B236" s="272" t="s">
        <v>312</v>
      </c>
      <c r="C236" s="401" t="s">
        <v>306</v>
      </c>
      <c r="D236" s="402"/>
      <c r="E236" s="402"/>
      <c r="F236" s="402"/>
      <c r="G236" s="403"/>
      <c r="H236" s="245" t="s">
        <v>308</v>
      </c>
      <c r="I236" s="245" t="s">
        <v>309</v>
      </c>
      <c r="J236" s="404" t="s">
        <v>310</v>
      </c>
      <c r="K236" s="405"/>
      <c r="L236" s="256" t="s">
        <v>313</v>
      </c>
      <c r="M236" s="245" t="s">
        <v>314</v>
      </c>
      <c r="N236" s="246"/>
      <c r="O236" s="246"/>
      <c r="P236" s="245"/>
      <c r="Q236" s="256"/>
      <c r="R236" s="256"/>
      <c r="S236" s="328"/>
      <c r="T236" s="245"/>
    </row>
    <row r="237" spans="1:20" hidden="1" x14ac:dyDescent="0.25">
      <c r="B237" s="275" t="s">
        <v>307</v>
      </c>
      <c r="C237" s="267">
        <v>32</v>
      </c>
      <c r="D237" s="270"/>
      <c r="E237" s="270"/>
      <c r="F237" s="270"/>
      <c r="G237" s="270"/>
      <c r="H237" s="270">
        <v>212</v>
      </c>
      <c r="I237" s="270"/>
      <c r="J237" s="270"/>
      <c r="K237" s="270"/>
      <c r="L237" s="267"/>
      <c r="M237" s="270"/>
      <c r="N237" s="270"/>
      <c r="O237" s="270"/>
      <c r="P237" s="270"/>
      <c r="Q237" s="267"/>
      <c r="R237" s="329"/>
      <c r="S237" s="267"/>
      <c r="T237" s="270"/>
    </row>
    <row r="238" spans="1:20" hidden="1" x14ac:dyDescent="0.25">
      <c r="B238" s="253" t="s">
        <v>225</v>
      </c>
      <c r="C238" s="267"/>
      <c r="D238" s="270"/>
      <c r="E238" s="270"/>
      <c r="F238" s="270"/>
      <c r="G238" s="270"/>
      <c r="H238" s="270"/>
      <c r="I238" s="270"/>
      <c r="J238" s="270"/>
      <c r="K238" s="270"/>
      <c r="L238" s="267"/>
      <c r="M238" s="270"/>
      <c r="N238" s="278"/>
      <c r="O238" s="278"/>
      <c r="P238" s="270"/>
      <c r="Q238" s="329"/>
      <c r="R238" s="267"/>
      <c r="S238" s="329"/>
      <c r="T238" s="278"/>
    </row>
    <row r="239" spans="1:20" hidden="1" x14ac:dyDescent="0.25">
      <c r="B239" s="253" t="s">
        <v>225</v>
      </c>
      <c r="C239" s="267"/>
      <c r="D239" s="270"/>
      <c r="E239" s="270"/>
      <c r="F239" s="270"/>
      <c r="G239" s="270"/>
      <c r="H239" s="270"/>
      <c r="I239" s="270"/>
      <c r="J239" s="270"/>
      <c r="K239" s="270"/>
      <c r="L239" s="267"/>
      <c r="M239" s="270"/>
      <c r="N239" s="278"/>
      <c r="O239" s="278"/>
      <c r="P239" s="270"/>
      <c r="Q239" s="267"/>
      <c r="R239" s="267"/>
      <c r="S239" s="329"/>
      <c r="T239" s="278"/>
    </row>
    <row r="240" spans="1:20" ht="30" hidden="1" x14ac:dyDescent="0.25">
      <c r="B240" s="239" t="s">
        <v>283</v>
      </c>
      <c r="C240" s="267"/>
      <c r="D240" s="270"/>
      <c r="E240" s="270"/>
      <c r="F240" s="270"/>
      <c r="G240" s="270"/>
      <c r="H240" s="245"/>
      <c r="I240" s="270"/>
      <c r="J240" s="270"/>
      <c r="K240" s="270"/>
      <c r="L240" s="267"/>
      <c r="M240" s="270"/>
      <c r="N240" s="278"/>
      <c r="O240" s="270"/>
      <c r="P240" s="270"/>
      <c r="Q240" s="267"/>
      <c r="R240" s="267"/>
      <c r="S240" s="329"/>
      <c r="T240" s="270"/>
    </row>
    <row r="241" spans="1:20" hidden="1" x14ac:dyDescent="0.25">
      <c r="B241" s="257" t="s">
        <v>318</v>
      </c>
      <c r="C241" s="267"/>
      <c r="D241" s="270"/>
      <c r="E241" s="270"/>
      <c r="F241" s="270"/>
      <c r="G241" s="270"/>
      <c r="H241" s="270"/>
      <c r="I241" s="270"/>
      <c r="J241" s="270"/>
      <c r="K241" s="270"/>
      <c r="L241" s="267"/>
      <c r="M241" s="270"/>
      <c r="N241" s="278"/>
      <c r="O241" s="270"/>
      <c r="P241" s="270"/>
      <c r="Q241" s="267"/>
      <c r="R241" s="267"/>
      <c r="S241" s="329"/>
      <c r="T241" s="270"/>
    </row>
    <row r="242" spans="1:20" ht="60" hidden="1" x14ac:dyDescent="0.25">
      <c r="B242" s="260" t="s">
        <v>289</v>
      </c>
      <c r="C242" s="267"/>
      <c r="D242" s="270"/>
      <c r="E242" s="270"/>
      <c r="F242" s="270"/>
      <c r="G242" s="270"/>
      <c r="H242" s="270"/>
      <c r="I242" s="270"/>
      <c r="J242" s="270"/>
      <c r="K242" s="270"/>
      <c r="L242" s="267"/>
      <c r="M242" s="270"/>
      <c r="N242" s="281"/>
      <c r="O242" s="270"/>
      <c r="P242" s="281"/>
      <c r="Q242" s="267"/>
      <c r="R242" s="267"/>
      <c r="S242" s="329"/>
      <c r="T242" s="278"/>
    </row>
    <row r="243" spans="1:20" ht="45" hidden="1" x14ac:dyDescent="0.25">
      <c r="B243" s="260" t="s">
        <v>290</v>
      </c>
      <c r="C243" s="267"/>
      <c r="D243" s="270"/>
      <c r="E243" s="270"/>
      <c r="F243" s="270"/>
      <c r="G243" s="270"/>
      <c r="H243" s="270"/>
      <c r="I243" s="270"/>
      <c r="J243" s="270"/>
      <c r="K243" s="270"/>
      <c r="L243" s="267"/>
      <c r="M243" s="270"/>
      <c r="N243" s="278"/>
      <c r="O243" s="270"/>
      <c r="P243" s="270"/>
      <c r="Q243" s="267"/>
      <c r="R243" s="267"/>
      <c r="S243" s="329"/>
      <c r="T243" s="270"/>
    </row>
    <row r="244" spans="1:20" hidden="1" x14ac:dyDescent="0.25">
      <c r="B244" s="282" t="s">
        <v>316</v>
      </c>
      <c r="C244" s="267"/>
      <c r="D244" s="270"/>
      <c r="E244" s="270"/>
      <c r="F244" s="270"/>
      <c r="G244" s="270"/>
      <c r="H244" s="270"/>
      <c r="I244" s="270"/>
      <c r="J244" s="270"/>
      <c r="K244" s="270"/>
      <c r="L244" s="267"/>
      <c r="M244" s="270"/>
      <c r="N244" s="278"/>
      <c r="O244" s="270"/>
      <c r="P244" s="270"/>
      <c r="Q244" s="267"/>
      <c r="R244" s="267"/>
      <c r="S244" s="329"/>
      <c r="T244" s="270"/>
    </row>
    <row r="245" spans="1:20" hidden="1" x14ac:dyDescent="0.25"/>
    <row r="246" spans="1:20" hidden="1" x14ac:dyDescent="0.25"/>
    <row r="247" spans="1:20" hidden="1" x14ac:dyDescent="0.25">
      <c r="A247" s="271">
        <v>18</v>
      </c>
      <c r="B247" s="272" t="s">
        <v>312</v>
      </c>
      <c r="C247" s="401" t="s">
        <v>306</v>
      </c>
      <c r="D247" s="402"/>
      <c r="E247" s="402"/>
      <c r="F247" s="402"/>
      <c r="G247" s="403"/>
      <c r="H247" s="245" t="s">
        <v>308</v>
      </c>
      <c r="I247" s="245" t="s">
        <v>309</v>
      </c>
      <c r="J247" s="404" t="s">
        <v>310</v>
      </c>
      <c r="K247" s="405"/>
      <c r="L247" s="256" t="s">
        <v>313</v>
      </c>
      <c r="M247" s="245" t="s">
        <v>314</v>
      </c>
      <c r="N247" s="246"/>
      <c r="O247" s="246"/>
      <c r="P247" s="245"/>
      <c r="Q247" s="256"/>
      <c r="R247" s="256"/>
      <c r="S247" s="328"/>
      <c r="T247" s="245"/>
    </row>
    <row r="248" spans="1:20" hidden="1" x14ac:dyDescent="0.25">
      <c r="B248" s="275" t="s">
        <v>307</v>
      </c>
      <c r="C248" s="267">
        <v>31</v>
      </c>
      <c r="D248" s="270">
        <v>32</v>
      </c>
      <c r="E248" s="270"/>
      <c r="F248" s="270"/>
      <c r="G248" s="270"/>
      <c r="H248" s="270">
        <v>76</v>
      </c>
      <c r="I248" s="270"/>
      <c r="J248" s="270"/>
      <c r="K248" s="270"/>
      <c r="L248" s="267"/>
      <c r="M248" s="270"/>
      <c r="N248" s="270"/>
      <c r="O248" s="270"/>
      <c r="P248" s="270"/>
      <c r="Q248" s="267"/>
      <c r="R248" s="329"/>
      <c r="S248" s="267"/>
      <c r="T248" s="270"/>
    </row>
    <row r="249" spans="1:20" hidden="1" x14ac:dyDescent="0.25">
      <c r="B249" s="253" t="s">
        <v>225</v>
      </c>
      <c r="C249" s="267"/>
      <c r="D249" s="270"/>
      <c r="E249" s="270"/>
      <c r="F249" s="270"/>
      <c r="G249" s="270"/>
      <c r="H249" s="270"/>
      <c r="I249" s="270"/>
      <c r="J249" s="270"/>
      <c r="K249" s="270"/>
      <c r="L249" s="267"/>
      <c r="M249" s="270"/>
      <c r="N249" s="278"/>
      <c r="O249" s="278"/>
      <c r="P249" s="270"/>
      <c r="Q249" s="329"/>
      <c r="R249" s="267"/>
      <c r="S249" s="329"/>
      <c r="T249" s="278"/>
    </row>
    <row r="250" spans="1:20" hidden="1" x14ac:dyDescent="0.25">
      <c r="B250" s="253" t="s">
        <v>225</v>
      </c>
      <c r="C250" s="267"/>
      <c r="D250" s="270"/>
      <c r="E250" s="270"/>
      <c r="F250" s="270"/>
      <c r="G250" s="270"/>
      <c r="H250" s="270"/>
      <c r="I250" s="270"/>
      <c r="J250" s="270"/>
      <c r="K250" s="270"/>
      <c r="L250" s="267"/>
      <c r="M250" s="270"/>
      <c r="N250" s="278"/>
      <c r="O250" s="278"/>
      <c r="P250" s="270"/>
      <c r="Q250" s="267"/>
      <c r="R250" s="267"/>
      <c r="S250" s="329"/>
      <c r="T250" s="278"/>
    </row>
    <row r="251" spans="1:20" ht="30" hidden="1" x14ac:dyDescent="0.25">
      <c r="B251" s="239" t="s">
        <v>283</v>
      </c>
      <c r="C251" s="267"/>
      <c r="D251" s="270"/>
      <c r="E251" s="270"/>
      <c r="F251" s="270"/>
      <c r="G251" s="270"/>
      <c r="H251" s="245"/>
      <c r="I251" s="270"/>
      <c r="J251" s="270"/>
      <c r="K251" s="270"/>
      <c r="L251" s="267"/>
      <c r="M251" s="270"/>
      <c r="N251" s="278"/>
      <c r="O251" s="270"/>
      <c r="P251" s="270"/>
      <c r="Q251" s="267"/>
      <c r="R251" s="267"/>
      <c r="S251" s="329"/>
      <c r="T251" s="270"/>
    </row>
    <row r="252" spans="1:20" hidden="1" x14ac:dyDescent="0.25">
      <c r="B252" s="239" t="s">
        <v>318</v>
      </c>
      <c r="C252" s="267"/>
      <c r="D252" s="270"/>
      <c r="E252" s="270"/>
      <c r="F252" s="270"/>
      <c r="G252" s="270"/>
      <c r="H252" s="245"/>
      <c r="I252" s="270"/>
      <c r="J252" s="270"/>
      <c r="K252" s="270"/>
      <c r="L252" s="267"/>
      <c r="M252" s="270"/>
      <c r="N252" s="278"/>
      <c r="O252" s="270"/>
      <c r="P252" s="270"/>
      <c r="Q252" s="267"/>
      <c r="R252" s="267"/>
      <c r="S252" s="329"/>
      <c r="T252" s="270"/>
    </row>
    <row r="253" spans="1:20" ht="60" hidden="1" x14ac:dyDescent="0.25">
      <c r="B253" s="260" t="s">
        <v>289</v>
      </c>
      <c r="C253" s="267"/>
      <c r="D253" s="270"/>
      <c r="E253" s="270"/>
      <c r="F253" s="270"/>
      <c r="G253" s="270"/>
      <c r="H253" s="270"/>
      <c r="I253" s="270"/>
      <c r="J253" s="270"/>
      <c r="K253" s="270"/>
      <c r="L253" s="267"/>
      <c r="M253" s="270"/>
      <c r="N253" s="281"/>
      <c r="O253" s="270"/>
      <c r="P253" s="281"/>
      <c r="Q253" s="267"/>
      <c r="R253" s="267"/>
      <c r="S253" s="329"/>
      <c r="T253" s="278"/>
    </row>
    <row r="254" spans="1:20" ht="45" hidden="1" x14ac:dyDescent="0.25">
      <c r="B254" s="260" t="s">
        <v>290</v>
      </c>
      <c r="C254" s="267"/>
      <c r="D254" s="270"/>
      <c r="E254" s="270"/>
      <c r="F254" s="270"/>
      <c r="G254" s="270"/>
      <c r="H254" s="270"/>
      <c r="I254" s="270"/>
      <c r="J254" s="270"/>
      <c r="K254" s="270"/>
      <c r="L254" s="267"/>
      <c r="M254" s="270"/>
      <c r="N254" s="278"/>
      <c r="O254" s="270"/>
      <c r="P254" s="270"/>
      <c r="Q254" s="267"/>
      <c r="R254" s="267"/>
      <c r="S254" s="329"/>
      <c r="T254" s="270"/>
    </row>
    <row r="255" spans="1:20" hidden="1" x14ac:dyDescent="0.25">
      <c r="B255" s="282" t="s">
        <v>316</v>
      </c>
      <c r="C255" s="267"/>
      <c r="D255" s="270"/>
      <c r="E255" s="270"/>
      <c r="F255" s="270"/>
      <c r="G255" s="270"/>
      <c r="H255" s="270"/>
      <c r="I255" s="270"/>
      <c r="J255" s="270"/>
      <c r="K255" s="270"/>
      <c r="L255" s="267"/>
      <c r="M255" s="270"/>
      <c r="N255" s="278"/>
      <c r="O255" s="270"/>
      <c r="P255" s="270"/>
      <c r="Q255" s="267"/>
      <c r="R255" s="267"/>
      <c r="S255" s="329"/>
      <c r="T255" s="270"/>
    </row>
    <row r="256" spans="1:20" hidden="1" x14ac:dyDescent="0.25"/>
    <row r="257" spans="14:19" hidden="1" x14ac:dyDescent="0.25"/>
    <row r="258" spans="14:19" x14ac:dyDescent="0.25">
      <c r="N258" s="266"/>
      <c r="O258" s="266"/>
    </row>
    <row r="259" spans="14:19" x14ac:dyDescent="0.25">
      <c r="Q259" s="247"/>
    </row>
    <row r="263" spans="14:19" x14ac:dyDescent="0.25">
      <c r="S263" s="247"/>
    </row>
  </sheetData>
  <mergeCells count="40"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  <mergeCell ref="C133:G133"/>
    <mergeCell ref="J133:K133"/>
    <mergeCell ref="C143:G143"/>
    <mergeCell ref="J143:K143"/>
    <mergeCell ref="C151:G151"/>
    <mergeCell ref="J151:K151"/>
    <mergeCell ref="C162:G162"/>
    <mergeCell ref="J162:K162"/>
    <mergeCell ref="C172:G172"/>
    <mergeCell ref="J172:K172"/>
    <mergeCell ref="C182:G182"/>
    <mergeCell ref="J182:K182"/>
    <mergeCell ref="C193:G193"/>
    <mergeCell ref="J193:K193"/>
    <mergeCell ref="C203:G203"/>
    <mergeCell ref="J203:K203"/>
    <mergeCell ref="C214:G214"/>
    <mergeCell ref="J214:K214"/>
    <mergeCell ref="C225:G225"/>
    <mergeCell ref="J225:K225"/>
    <mergeCell ref="C236:G236"/>
    <mergeCell ref="J236:K236"/>
    <mergeCell ref="C247:G247"/>
    <mergeCell ref="J247:K247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tabSelected="1" workbookViewId="0">
      <selection activeCell="K1" sqref="K1"/>
    </sheetView>
  </sheetViews>
  <sheetFormatPr defaultColWidth="9.140625" defaultRowHeight="15" x14ac:dyDescent="0.25"/>
  <cols>
    <col min="1" max="1" width="17.28515625" style="182" customWidth="1"/>
    <col min="2" max="2" width="26.28515625" style="182" customWidth="1"/>
    <col min="3" max="3" width="13.28515625" style="182" customWidth="1"/>
    <col min="4" max="4" width="12.28515625" style="182" customWidth="1"/>
    <col min="5" max="5" width="18.28515625" style="182" hidden="1" customWidth="1"/>
    <col min="6" max="6" width="13.28515625" style="182" hidden="1" customWidth="1"/>
    <col min="7" max="7" width="14" style="182" customWidth="1"/>
    <col min="8" max="8" width="12.7109375" style="182" customWidth="1"/>
    <col min="9" max="9" width="15.28515625" style="182" customWidth="1"/>
    <col min="10" max="10" width="17.28515625" style="182" customWidth="1"/>
    <col min="11" max="11" width="16" style="182" customWidth="1"/>
    <col min="12" max="12" width="17.7109375" style="182" customWidth="1"/>
    <col min="13" max="13" width="13.5703125" style="182" hidden="1" customWidth="1"/>
    <col min="14" max="14" width="16.7109375" style="182" hidden="1" customWidth="1"/>
    <col min="15" max="16" width="15.42578125" style="182" hidden="1" customWidth="1"/>
    <col min="17" max="18" width="7.140625" style="182" customWidth="1"/>
    <col min="19" max="19" width="7.140625" style="182" hidden="1" customWidth="1"/>
    <col min="20" max="21" width="9.42578125" style="182" hidden="1" customWidth="1"/>
    <col min="22" max="22" width="10.7109375" style="182" hidden="1" customWidth="1"/>
    <col min="23" max="23" width="9.42578125" style="182" hidden="1" customWidth="1"/>
    <col min="24" max="24" width="10.42578125" style="182" hidden="1" customWidth="1"/>
    <col min="25" max="25" width="8.42578125" style="182" hidden="1" customWidth="1"/>
    <col min="26" max="26" width="8.7109375" style="182" hidden="1" customWidth="1"/>
    <col min="27" max="27" width="9.42578125" style="182" bestFit="1" customWidth="1"/>
    <col min="28" max="16384" width="9.140625" style="182"/>
  </cols>
  <sheetData>
    <row r="1" spans="1:26" x14ac:dyDescent="0.25">
      <c r="K1" s="186" t="s">
        <v>203</v>
      </c>
      <c r="L1" s="183"/>
      <c r="V1" s="117"/>
    </row>
    <row r="2" spans="1:26" hidden="1" x14ac:dyDescent="0.25">
      <c r="K2" s="186" t="s">
        <v>337</v>
      </c>
      <c r="L2" s="183"/>
      <c r="V2" s="117"/>
    </row>
    <row r="3" spans="1:26" hidden="1" x14ac:dyDescent="0.25">
      <c r="K3" s="186" t="s">
        <v>175</v>
      </c>
      <c r="L3" s="183"/>
      <c r="V3" s="117"/>
    </row>
    <row r="4" spans="1:26" x14ac:dyDescent="0.25">
      <c r="K4" s="186" t="s">
        <v>359</v>
      </c>
      <c r="L4" s="183"/>
      <c r="V4" s="117"/>
    </row>
    <row r="5" spans="1:26" x14ac:dyDescent="0.25">
      <c r="A5" s="379" t="s">
        <v>334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</row>
    <row r="6" spans="1:26" x14ac:dyDescent="0.25">
      <c r="A6" s="191" t="s">
        <v>156</v>
      </c>
    </row>
    <row r="7" spans="1:26" ht="35.450000000000003" customHeight="1" x14ac:dyDescent="0.25">
      <c r="A7" s="424" t="s">
        <v>3</v>
      </c>
      <c r="B7" s="424" t="s">
        <v>81</v>
      </c>
      <c r="C7" s="424" t="s">
        <v>4</v>
      </c>
      <c r="D7" s="429" t="s">
        <v>5</v>
      </c>
      <c r="E7" s="430"/>
      <c r="F7" s="430"/>
      <c r="G7" s="430"/>
      <c r="H7" s="431"/>
      <c r="I7" s="432" t="s">
        <v>6</v>
      </c>
      <c r="J7" s="397" t="s">
        <v>7</v>
      </c>
      <c r="K7" s="397"/>
      <c r="L7" s="397"/>
      <c r="T7" s="428" t="s">
        <v>6</v>
      </c>
      <c r="U7" s="428" t="s">
        <v>360</v>
      </c>
    </row>
    <row r="8" spans="1:26" ht="24" customHeight="1" x14ac:dyDescent="0.25">
      <c r="A8" s="425"/>
      <c r="B8" s="425"/>
      <c r="C8" s="425"/>
      <c r="D8" s="228" t="s">
        <v>205</v>
      </c>
      <c r="E8" s="206" t="s">
        <v>208</v>
      </c>
      <c r="F8" s="205" t="s">
        <v>206</v>
      </c>
      <c r="G8" s="228" t="s">
        <v>260</v>
      </c>
      <c r="H8" s="228" t="s">
        <v>336</v>
      </c>
      <c r="I8" s="432"/>
      <c r="J8" s="228" t="s">
        <v>205</v>
      </c>
      <c r="K8" s="228" t="s">
        <v>260</v>
      </c>
      <c r="L8" s="228" t="s">
        <v>336</v>
      </c>
      <c r="T8" s="428"/>
      <c r="U8" s="428"/>
    </row>
    <row r="9" spans="1:26" ht="45" x14ac:dyDescent="0.25">
      <c r="A9" s="307" t="s">
        <v>13</v>
      </c>
      <c r="B9" s="307" t="s">
        <v>14</v>
      </c>
      <c r="C9" s="307" t="s">
        <v>15</v>
      </c>
      <c r="D9" s="307" t="s">
        <v>16</v>
      </c>
      <c r="E9" s="307" t="s">
        <v>16</v>
      </c>
      <c r="F9" s="307" t="s">
        <v>16</v>
      </c>
      <c r="G9" s="307" t="s">
        <v>16</v>
      </c>
      <c r="H9" s="307" t="s">
        <v>16</v>
      </c>
      <c r="I9" s="307" t="s">
        <v>17</v>
      </c>
      <c r="J9" s="307" t="s">
        <v>17</v>
      </c>
      <c r="K9" s="307" t="s">
        <v>17</v>
      </c>
      <c r="L9" s="307" t="s">
        <v>17</v>
      </c>
      <c r="N9" s="182" t="s">
        <v>288</v>
      </c>
      <c r="U9" s="337" t="s">
        <v>361</v>
      </c>
      <c r="V9" s="352" t="s">
        <v>363</v>
      </c>
      <c r="W9" s="348">
        <f>1388260+5445800+21848112</f>
        <v>28682172</v>
      </c>
    </row>
    <row r="10" spans="1:26" x14ac:dyDescent="0.25">
      <c r="A10" s="224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U10" s="337" t="s">
        <v>362</v>
      </c>
    </row>
    <row r="11" spans="1:26" ht="73.900000000000006" customHeight="1" x14ac:dyDescent="0.25">
      <c r="A11" s="224" t="s">
        <v>157</v>
      </c>
      <c r="B11" s="231" t="s">
        <v>354</v>
      </c>
      <c r="C11" s="230" t="s">
        <v>177</v>
      </c>
      <c r="D11" s="229">
        <v>21600</v>
      </c>
      <c r="E11" s="229"/>
      <c r="F11" s="229"/>
      <c r="G11" s="229">
        <v>21600</v>
      </c>
      <c r="H11" s="229">
        <v>21600</v>
      </c>
      <c r="I11" s="234">
        <f>J11/D11</f>
        <v>207.46274675925926</v>
      </c>
      <c r="J11" s="234">
        <f>4298400+182795.33</f>
        <v>4481195.33</v>
      </c>
      <c r="K11" s="234">
        <f>G11*T11</f>
        <v>4298400</v>
      </c>
      <c r="L11" s="234">
        <f>H11*T11</f>
        <v>4298400</v>
      </c>
      <c r="M11" s="192">
        <f>I11+M28</f>
        <v>207.46274675925926</v>
      </c>
      <c r="N11" s="192">
        <f>M11*H11</f>
        <v>4481195.33</v>
      </c>
      <c r="Q11" s="192"/>
      <c r="R11" s="192"/>
      <c r="S11" s="192"/>
      <c r="T11" s="338">
        <v>199</v>
      </c>
      <c r="U11" s="338">
        <v>4298400</v>
      </c>
      <c r="V11" s="338"/>
      <c r="W11" s="338"/>
      <c r="X11" s="338"/>
      <c r="Y11" s="338"/>
      <c r="Z11" s="338"/>
    </row>
    <row r="12" spans="1:26" ht="78" customHeight="1" x14ac:dyDescent="0.25">
      <c r="A12" s="224" t="s">
        <v>157</v>
      </c>
      <c r="B12" s="231" t="s">
        <v>242</v>
      </c>
      <c r="C12" s="230" t="s">
        <v>177</v>
      </c>
      <c r="D12" s="229">
        <v>15696</v>
      </c>
      <c r="E12" s="229">
        <v>13582</v>
      </c>
      <c r="F12" s="229">
        <v>13582</v>
      </c>
      <c r="G12" s="229">
        <f>D12</f>
        <v>15696</v>
      </c>
      <c r="H12" s="229">
        <f>G12</f>
        <v>15696</v>
      </c>
      <c r="I12" s="234">
        <f t="shared" ref="I12:I16" si="0">J12/D12</f>
        <v>210.22118565239552</v>
      </c>
      <c r="J12" s="234">
        <f>3116836.4+182795.33</f>
        <v>3299631.73</v>
      </c>
      <c r="K12" s="234">
        <f t="shared" ref="K12:K16" si="1">G12*T12</f>
        <v>3116911.68</v>
      </c>
      <c r="L12" s="234">
        <f t="shared" ref="L12:L16" si="2">H12*T12</f>
        <v>3116911.68</v>
      </c>
      <c r="M12" s="192">
        <f>I12+M28</f>
        <v>210.22118565239552</v>
      </c>
      <c r="N12" s="192">
        <f>M12*H12</f>
        <v>3299631.73</v>
      </c>
      <c r="Q12" s="192"/>
      <c r="R12" s="192"/>
      <c r="S12" s="192"/>
      <c r="T12" s="338">
        <v>198.58</v>
      </c>
      <c r="U12" s="338">
        <v>3116836.4</v>
      </c>
      <c r="V12" s="338"/>
      <c r="W12" s="338"/>
      <c r="X12" s="338"/>
      <c r="Y12" s="338"/>
      <c r="Z12" s="338"/>
    </row>
    <row r="13" spans="1:26" ht="71.45" customHeight="1" x14ac:dyDescent="0.25">
      <c r="A13" s="224" t="s">
        <v>157</v>
      </c>
      <c r="B13" s="231" t="s">
        <v>294</v>
      </c>
      <c r="C13" s="230" t="s">
        <v>177</v>
      </c>
      <c r="D13" s="229">
        <v>7200</v>
      </c>
      <c r="E13" s="229"/>
      <c r="F13" s="229"/>
      <c r="G13" s="229">
        <v>7200</v>
      </c>
      <c r="H13" s="229">
        <v>7200</v>
      </c>
      <c r="I13" s="234">
        <f t="shared" si="0"/>
        <v>224.5882402777778</v>
      </c>
      <c r="J13" s="234">
        <f>1434240+182795.33</f>
        <v>1617035.33</v>
      </c>
      <c r="K13" s="234">
        <f t="shared" si="1"/>
        <v>1434240</v>
      </c>
      <c r="L13" s="234">
        <f t="shared" si="2"/>
        <v>1434240</v>
      </c>
      <c r="M13" s="192"/>
      <c r="N13" s="192"/>
      <c r="Q13" s="192"/>
      <c r="R13" s="192"/>
      <c r="S13" s="192"/>
      <c r="T13" s="338">
        <v>199.2</v>
      </c>
      <c r="U13" s="338">
        <v>1434240</v>
      </c>
      <c r="V13" s="338"/>
      <c r="W13" s="338"/>
      <c r="X13" s="338"/>
      <c r="Y13" s="338"/>
      <c r="Z13" s="338"/>
    </row>
    <row r="14" spans="1:26" ht="62.45" customHeight="1" x14ac:dyDescent="0.25">
      <c r="A14" s="224" t="s">
        <v>157</v>
      </c>
      <c r="B14" s="231" t="s">
        <v>243</v>
      </c>
      <c r="C14" s="230" t="s">
        <v>177</v>
      </c>
      <c r="D14" s="229">
        <v>12240</v>
      </c>
      <c r="E14" s="229">
        <v>13271</v>
      </c>
      <c r="F14" s="229">
        <v>13271</v>
      </c>
      <c r="G14" s="229">
        <f>D14</f>
        <v>12240</v>
      </c>
      <c r="H14" s="229">
        <f>G14</f>
        <v>12240</v>
      </c>
      <c r="I14" s="234">
        <f t="shared" si="0"/>
        <v>213.66425898692813</v>
      </c>
      <c r="J14" s="234">
        <f>2432455.2+182795.33</f>
        <v>2615250.5300000003</v>
      </c>
      <c r="K14" s="234">
        <f t="shared" si="1"/>
        <v>2432455.1999999997</v>
      </c>
      <c r="L14" s="234">
        <f t="shared" si="2"/>
        <v>2432455.1999999997</v>
      </c>
      <c r="M14" s="192">
        <f>I14+M28</f>
        <v>213.66425898692813</v>
      </c>
      <c r="N14" s="192">
        <f>M14*H14</f>
        <v>2615250.5300000003</v>
      </c>
      <c r="Q14" s="192"/>
      <c r="R14" s="192"/>
      <c r="S14" s="192"/>
      <c r="T14" s="338">
        <v>198.73</v>
      </c>
      <c r="U14" s="338">
        <v>2432455.2000000002</v>
      </c>
      <c r="V14" s="338"/>
      <c r="W14" s="338"/>
      <c r="X14" s="338"/>
      <c r="Y14" s="338"/>
      <c r="Z14" s="338"/>
    </row>
    <row r="15" spans="1:26" ht="76.150000000000006" customHeight="1" x14ac:dyDescent="0.25">
      <c r="A15" s="224" t="s">
        <v>157</v>
      </c>
      <c r="B15" s="231" t="s">
        <v>244</v>
      </c>
      <c r="C15" s="230" t="s">
        <v>177</v>
      </c>
      <c r="D15" s="229">
        <v>38916</v>
      </c>
      <c r="E15" s="229">
        <v>49974</v>
      </c>
      <c r="F15" s="229">
        <v>49974</v>
      </c>
      <c r="G15" s="229">
        <f>D15</f>
        <v>38916</v>
      </c>
      <c r="H15" s="229">
        <f>G15</f>
        <v>38916</v>
      </c>
      <c r="I15" s="234">
        <f t="shared" si="0"/>
        <v>204.49717673964435</v>
      </c>
      <c r="J15" s="234">
        <f>7775416.8+182795.33</f>
        <v>7958212.1299999999</v>
      </c>
      <c r="K15" s="234">
        <f t="shared" si="1"/>
        <v>7775416.8000000007</v>
      </c>
      <c r="L15" s="234">
        <f t="shared" si="2"/>
        <v>7775416.8000000007</v>
      </c>
      <c r="M15" s="192">
        <f>I15+M28</f>
        <v>204.49717673964435</v>
      </c>
      <c r="N15" s="192">
        <f>M15*H15</f>
        <v>7958212.129999999</v>
      </c>
      <c r="O15" s="192"/>
      <c r="Q15" s="192"/>
      <c r="R15" s="192"/>
      <c r="S15" s="192"/>
      <c r="T15" s="338">
        <v>199.8</v>
      </c>
      <c r="U15" s="338">
        <v>7775416.7999999998</v>
      </c>
      <c r="V15" s="344"/>
      <c r="W15" s="338"/>
      <c r="X15" s="338"/>
      <c r="Y15" s="338"/>
      <c r="Z15" s="338"/>
    </row>
    <row r="16" spans="1:26" ht="89.45" customHeight="1" x14ac:dyDescent="0.25">
      <c r="A16" s="231" t="s">
        <v>157</v>
      </c>
      <c r="B16" s="231" t="s">
        <v>241</v>
      </c>
      <c r="C16" s="230" t="s">
        <v>177</v>
      </c>
      <c r="D16" s="229">
        <v>18540</v>
      </c>
      <c r="E16" s="229">
        <v>39042</v>
      </c>
      <c r="F16" s="229">
        <v>39042</v>
      </c>
      <c r="G16" s="229">
        <f>D16</f>
        <v>18540</v>
      </c>
      <c r="H16" s="229">
        <f>G16</f>
        <v>18540</v>
      </c>
      <c r="I16" s="234">
        <f t="shared" si="0"/>
        <v>203.21951186623517</v>
      </c>
      <c r="J16" s="234">
        <f>3584894.4+182795.35</f>
        <v>3767689.75</v>
      </c>
      <c r="K16" s="234">
        <f t="shared" si="1"/>
        <v>3584894.4000000004</v>
      </c>
      <c r="L16" s="234">
        <f t="shared" si="2"/>
        <v>3584894.4000000004</v>
      </c>
      <c r="M16" s="192">
        <v>18548537.66</v>
      </c>
      <c r="N16" s="198">
        <f>1891/125971</f>
        <v>1.5011391510744536E-2</v>
      </c>
      <c r="O16" s="192"/>
      <c r="Q16" s="210"/>
      <c r="R16" s="210"/>
      <c r="S16" s="192"/>
      <c r="T16" s="338">
        <v>193.36</v>
      </c>
      <c r="U16" s="338">
        <v>3584894.4</v>
      </c>
      <c r="V16" s="344"/>
      <c r="W16" s="338"/>
      <c r="X16" s="338"/>
      <c r="Y16" s="338"/>
      <c r="Z16" s="338"/>
    </row>
    <row r="17" spans="1:26" ht="31.9" customHeight="1" x14ac:dyDescent="0.25">
      <c r="A17" s="224" t="s">
        <v>249</v>
      </c>
      <c r="B17" s="231" t="s">
        <v>235</v>
      </c>
      <c r="C17" s="321"/>
      <c r="D17" s="321">
        <f>SUM(D11:D16)</f>
        <v>114192</v>
      </c>
      <c r="E17" s="321">
        <f>SUM(E11:E16)</f>
        <v>115869</v>
      </c>
      <c r="F17" s="321">
        <f>SUM(F11:F16)</f>
        <v>115869</v>
      </c>
      <c r="G17" s="321">
        <f>SUM(G11:G16)</f>
        <v>114192</v>
      </c>
      <c r="H17" s="321">
        <f>SUM(H11:H16)</f>
        <v>114192</v>
      </c>
      <c r="I17" s="234">
        <f>AVERAGE(I11:I16)+0.00037</f>
        <v>210.60922338037338</v>
      </c>
      <c r="J17" s="336">
        <f>SUM(J11:J16)</f>
        <v>23739014.800000001</v>
      </c>
      <c r="K17" s="336">
        <f>SUM(K11:K16)</f>
        <v>22642318.079999998</v>
      </c>
      <c r="L17" s="336">
        <f>SUM(L11:L16)</f>
        <v>22642318.079999998</v>
      </c>
      <c r="M17" s="192">
        <v>22132020.66</v>
      </c>
      <c r="N17" s="192">
        <f>M17-J17</f>
        <v>-1606994.1400000006</v>
      </c>
      <c r="O17" s="197">
        <f>N17/D17</f>
        <v>-14.072738370463785</v>
      </c>
      <c r="Q17" s="192"/>
      <c r="R17" s="192"/>
      <c r="S17" s="334"/>
      <c r="U17" s="343">
        <f>SUM(U11:U16)</f>
        <v>22642242.800000001</v>
      </c>
      <c r="V17" s="343">
        <f>1388260+5445800+21848112</f>
        <v>28682172</v>
      </c>
      <c r="W17" s="346">
        <f>SUM(W11:W16)</f>
        <v>0</v>
      </c>
      <c r="X17" s="348">
        <f>V17-J27</f>
        <v>23739014.800000001</v>
      </c>
      <c r="Y17" s="341">
        <f>X17-U17</f>
        <v>1096772</v>
      </c>
      <c r="Z17" s="342">
        <f>Y17/6</f>
        <v>182795.33333333334</v>
      </c>
    </row>
    <row r="18" spans="1:26" ht="95.45" customHeight="1" x14ac:dyDescent="0.25">
      <c r="A18" s="224" t="s">
        <v>157</v>
      </c>
      <c r="B18" s="231" t="s">
        <v>358</v>
      </c>
      <c r="C18" s="230" t="s">
        <v>177</v>
      </c>
      <c r="D18" s="230">
        <v>15120</v>
      </c>
      <c r="E18" s="230"/>
      <c r="F18" s="230"/>
      <c r="G18" s="230">
        <v>0</v>
      </c>
      <c r="H18" s="230">
        <f t="shared" ref="H18:H23" si="3">G18</f>
        <v>0</v>
      </c>
      <c r="I18" s="234">
        <f>112.98-4.864022</f>
        <v>108.115978</v>
      </c>
      <c r="J18" s="234">
        <f>D18*I18+0.01</f>
        <v>1634713.59736</v>
      </c>
      <c r="K18" s="234">
        <f>G18*I18</f>
        <v>0</v>
      </c>
      <c r="L18" s="234">
        <f>H18*I18</f>
        <v>0</v>
      </c>
      <c r="M18" s="192"/>
      <c r="N18" s="192"/>
      <c r="O18" s="197"/>
      <c r="Q18" s="192"/>
      <c r="R18" s="192"/>
      <c r="S18" s="192"/>
      <c r="T18" s="338">
        <v>112.98</v>
      </c>
      <c r="U18" s="340">
        <f>T18*D18</f>
        <v>1708257.6</v>
      </c>
      <c r="V18" s="347"/>
    </row>
    <row r="19" spans="1:26" ht="93" customHeight="1" x14ac:dyDescent="0.25">
      <c r="A19" s="224" t="s">
        <v>157</v>
      </c>
      <c r="B19" s="231" t="s">
        <v>327</v>
      </c>
      <c r="C19" s="230" t="s">
        <v>177</v>
      </c>
      <c r="D19" s="230">
        <v>8208</v>
      </c>
      <c r="E19" s="230"/>
      <c r="F19" s="230"/>
      <c r="G19" s="230">
        <v>0</v>
      </c>
      <c r="H19" s="230">
        <f t="shared" si="3"/>
        <v>0</v>
      </c>
      <c r="I19" s="234">
        <f>105.5+7.38-4.864022</f>
        <v>108.01597799999999</v>
      </c>
      <c r="J19" s="234">
        <f t="shared" ref="J19:J23" si="4">D19*I19</f>
        <v>886595.14742399997</v>
      </c>
      <c r="K19" s="234">
        <f t="shared" ref="K19:K23" si="5">G19*I19</f>
        <v>0</v>
      </c>
      <c r="L19" s="234">
        <f t="shared" ref="L19:L23" si="6">H19*I19</f>
        <v>0</v>
      </c>
      <c r="M19" s="192"/>
      <c r="N19" s="192"/>
      <c r="O19" s="197"/>
      <c r="Q19" s="192"/>
      <c r="R19" s="192"/>
      <c r="S19" s="192"/>
      <c r="T19" s="338">
        <f>105.5+7.38</f>
        <v>112.88</v>
      </c>
      <c r="U19" s="340">
        <f>T19*D19</f>
        <v>926519.03999999992</v>
      </c>
      <c r="V19" s="339"/>
    </row>
    <row r="20" spans="1:26" ht="106.15" customHeight="1" x14ac:dyDescent="0.25">
      <c r="A20" s="224" t="s">
        <v>157</v>
      </c>
      <c r="B20" s="231" t="s">
        <v>328</v>
      </c>
      <c r="C20" s="230" t="s">
        <v>177</v>
      </c>
      <c r="D20" s="230">
        <v>3240</v>
      </c>
      <c r="E20" s="230"/>
      <c r="F20" s="230"/>
      <c r="G20" s="230">
        <v>0</v>
      </c>
      <c r="H20" s="230">
        <f t="shared" si="3"/>
        <v>0</v>
      </c>
      <c r="I20" s="234">
        <f>104.06+8.87-4.864022</f>
        <v>108.065978</v>
      </c>
      <c r="J20" s="234">
        <f>D20*I20-10.44</f>
        <v>350123.32871999999</v>
      </c>
      <c r="K20" s="234">
        <f t="shared" si="5"/>
        <v>0</v>
      </c>
      <c r="L20" s="234">
        <f t="shared" si="6"/>
        <v>0</v>
      </c>
      <c r="M20" s="192"/>
      <c r="N20" s="192"/>
      <c r="O20" s="197"/>
      <c r="Q20" s="192"/>
      <c r="R20" s="192"/>
      <c r="S20" s="192"/>
      <c r="T20" s="338">
        <f>104.06+8.87</f>
        <v>112.93</v>
      </c>
      <c r="U20" s="340">
        <f>T20*D20-10.44</f>
        <v>365882.76</v>
      </c>
      <c r="V20" s="339"/>
    </row>
    <row r="21" spans="1:26" ht="89.45" customHeight="1" x14ac:dyDescent="0.25">
      <c r="A21" s="224" t="s">
        <v>157</v>
      </c>
      <c r="B21" s="231" t="s">
        <v>329</v>
      </c>
      <c r="C21" s="230" t="s">
        <v>177</v>
      </c>
      <c r="D21" s="230">
        <v>19440</v>
      </c>
      <c r="E21" s="230"/>
      <c r="F21" s="230"/>
      <c r="G21" s="230">
        <v>0</v>
      </c>
      <c r="H21" s="230">
        <f t="shared" si="3"/>
        <v>0</v>
      </c>
      <c r="I21" s="234">
        <f>105.05+7.93-4.864022</f>
        <v>108.11597799999998</v>
      </c>
      <c r="J21" s="234">
        <f t="shared" si="4"/>
        <v>2101774.6123199998</v>
      </c>
      <c r="K21" s="234">
        <f t="shared" si="5"/>
        <v>0</v>
      </c>
      <c r="L21" s="234">
        <f t="shared" si="6"/>
        <v>0</v>
      </c>
      <c r="M21" s="192"/>
      <c r="N21" s="192"/>
      <c r="O21" s="197"/>
      <c r="Q21" s="192"/>
      <c r="R21" s="192"/>
      <c r="S21" s="192"/>
      <c r="T21" s="338">
        <f>105.05+7.93</f>
        <v>112.97999999999999</v>
      </c>
      <c r="U21" s="340">
        <f>T21*D21</f>
        <v>2196331.1999999997</v>
      </c>
      <c r="V21" s="339"/>
    </row>
    <row r="22" spans="1:26" ht="103.15" customHeight="1" x14ac:dyDescent="0.25">
      <c r="A22" s="224" t="s">
        <v>157</v>
      </c>
      <c r="B22" s="231" t="s">
        <v>331</v>
      </c>
      <c r="C22" s="230" t="s">
        <v>177</v>
      </c>
      <c r="D22" s="230">
        <v>18360</v>
      </c>
      <c r="E22" s="230"/>
      <c r="F22" s="230"/>
      <c r="G22" s="230">
        <v>0</v>
      </c>
      <c r="H22" s="230">
        <f t="shared" si="3"/>
        <v>0</v>
      </c>
      <c r="I22" s="234">
        <f>105.55+7.4-4.864022</f>
        <v>108.085978</v>
      </c>
      <c r="J22" s="234">
        <f t="shared" si="4"/>
        <v>1984458.55608</v>
      </c>
      <c r="K22" s="234">
        <f t="shared" si="5"/>
        <v>0</v>
      </c>
      <c r="L22" s="234">
        <f t="shared" si="6"/>
        <v>0</v>
      </c>
      <c r="M22" s="192"/>
      <c r="N22" s="192"/>
      <c r="O22" s="197"/>
      <c r="Q22" s="192"/>
      <c r="R22" s="192"/>
      <c r="S22" s="192"/>
      <c r="T22" s="338">
        <f>105.55+7.4</f>
        <v>112.95</v>
      </c>
      <c r="U22" s="340">
        <f>T22*D22</f>
        <v>2073762</v>
      </c>
      <c r="V22" s="339"/>
    </row>
    <row r="23" spans="1:26" ht="115.9" customHeight="1" x14ac:dyDescent="0.25">
      <c r="A23" s="231" t="s">
        <v>157</v>
      </c>
      <c r="B23" s="231" t="s">
        <v>330</v>
      </c>
      <c r="C23" s="230" t="s">
        <v>177</v>
      </c>
      <c r="D23" s="230">
        <v>17892</v>
      </c>
      <c r="E23" s="230"/>
      <c r="F23" s="230"/>
      <c r="G23" s="230">
        <v>0</v>
      </c>
      <c r="H23" s="230">
        <f t="shared" si="3"/>
        <v>0</v>
      </c>
      <c r="I23" s="234">
        <f>103+9.85-4.864022</f>
        <v>107.98597799999999</v>
      </c>
      <c r="J23" s="234">
        <f t="shared" si="4"/>
        <v>1932085.1183759999</v>
      </c>
      <c r="K23" s="234">
        <f t="shared" si="5"/>
        <v>0</v>
      </c>
      <c r="L23" s="234">
        <f t="shared" si="6"/>
        <v>0</v>
      </c>
      <c r="M23" s="192"/>
      <c r="N23" s="192"/>
      <c r="O23" s="197"/>
      <c r="Q23" s="192"/>
      <c r="R23" s="192"/>
      <c r="S23" s="192"/>
      <c r="T23" s="338">
        <f>103+9.85</f>
        <v>112.85</v>
      </c>
      <c r="U23" s="340">
        <f>T23*D23</f>
        <v>2019112.2</v>
      </c>
      <c r="V23" s="199"/>
    </row>
    <row r="24" spans="1:26" ht="25.15" customHeight="1" x14ac:dyDescent="0.25">
      <c r="A24" s="224" t="s">
        <v>249</v>
      </c>
      <c r="B24" s="231" t="s">
        <v>332</v>
      </c>
      <c r="C24" s="321"/>
      <c r="D24" s="321">
        <f>SUM(D18:D23)</f>
        <v>82260</v>
      </c>
      <c r="E24" s="321">
        <f t="shared" ref="E24:L24" si="7">SUM(E18:E23)</f>
        <v>0</v>
      </c>
      <c r="F24" s="321">
        <f t="shared" si="7"/>
        <v>0</v>
      </c>
      <c r="G24" s="321">
        <f t="shared" si="7"/>
        <v>0</v>
      </c>
      <c r="H24" s="321">
        <f t="shared" si="7"/>
        <v>0</v>
      </c>
      <c r="I24" s="234">
        <f>AVERAGE(I18:I23)</f>
        <v>108.06431133333335</v>
      </c>
      <c r="J24" s="336">
        <f t="shared" si="7"/>
        <v>8889750.3602799997</v>
      </c>
      <c r="K24" s="336">
        <f t="shared" si="7"/>
        <v>0</v>
      </c>
      <c r="L24" s="336">
        <f t="shared" si="7"/>
        <v>0</v>
      </c>
      <c r="M24" s="192"/>
      <c r="N24" s="192"/>
      <c r="O24" s="197"/>
      <c r="Q24" s="192"/>
      <c r="R24" s="192"/>
      <c r="S24" s="334">
        <f>9289864.8-8889750.36</f>
        <v>400114.44000000134</v>
      </c>
      <c r="T24" s="335">
        <f>S24/D24</f>
        <v>4.8640218818380907</v>
      </c>
      <c r="U24" s="350">
        <f>SUM(U18:U23)</f>
        <v>9289864.7999999989</v>
      </c>
      <c r="V24" s="351">
        <v>8889750.3599999994</v>
      </c>
    </row>
    <row r="25" spans="1:26" ht="43.15" customHeight="1" x14ac:dyDescent="0.25">
      <c r="A25" s="426" t="s">
        <v>157</v>
      </c>
      <c r="B25" s="231" t="s">
        <v>248</v>
      </c>
      <c r="C25" s="230" t="s">
        <v>234</v>
      </c>
      <c r="D25" s="230">
        <v>1</v>
      </c>
      <c r="E25" s="230">
        <v>1</v>
      </c>
      <c r="F25" s="230">
        <v>1</v>
      </c>
      <c r="G25" s="230">
        <v>1</v>
      </c>
      <c r="H25" s="230">
        <v>1</v>
      </c>
      <c r="I25" s="234">
        <v>116293.62</v>
      </c>
      <c r="J25" s="234">
        <f>D25*I25</f>
        <v>116293.62</v>
      </c>
      <c r="K25" s="234">
        <v>116293.62</v>
      </c>
      <c r="L25" s="234">
        <f t="shared" ref="L25" si="8">K25</f>
        <v>116293.62</v>
      </c>
      <c r="M25" s="192"/>
      <c r="N25" s="192"/>
      <c r="P25" s="192"/>
      <c r="Q25" s="192"/>
      <c r="R25" s="192"/>
    </row>
    <row r="26" spans="1:26" ht="45.6" customHeight="1" x14ac:dyDescent="0.25">
      <c r="A26" s="427"/>
      <c r="B26" s="231" t="s">
        <v>245</v>
      </c>
      <c r="C26" s="230" t="s">
        <v>234</v>
      </c>
      <c r="D26" s="230">
        <v>2</v>
      </c>
      <c r="E26" s="230">
        <v>2</v>
      </c>
      <c r="F26" s="230">
        <v>2</v>
      </c>
      <c r="G26" s="230">
        <v>2</v>
      </c>
      <c r="H26" s="230">
        <v>2</v>
      </c>
      <c r="I26" s="234">
        <v>2413431.79</v>
      </c>
      <c r="J26" s="234">
        <f>D26*I26</f>
        <v>4826863.58</v>
      </c>
      <c r="K26" s="234">
        <f>J26</f>
        <v>4826863.58</v>
      </c>
      <c r="L26" s="234">
        <f>K26</f>
        <v>4826863.58</v>
      </c>
      <c r="M26" s="192"/>
      <c r="N26" s="192"/>
      <c r="P26" s="192"/>
      <c r="Q26" s="192"/>
      <c r="R26" s="192"/>
    </row>
    <row r="27" spans="1:26" ht="28.5" customHeight="1" x14ac:dyDescent="0.25">
      <c r="A27" s="224" t="s">
        <v>250</v>
      </c>
      <c r="B27" s="231" t="s">
        <v>236</v>
      </c>
      <c r="C27" s="321"/>
      <c r="D27" s="322">
        <f>SUM(D25:D26)</f>
        <v>3</v>
      </c>
      <c r="E27" s="322">
        <f>SUM(E25:E26)</f>
        <v>3</v>
      </c>
      <c r="F27" s="322">
        <f>SUM(F25:F26)</f>
        <v>3</v>
      </c>
      <c r="G27" s="322">
        <f>SUM(G25:G26)</f>
        <v>3</v>
      </c>
      <c r="H27" s="322">
        <f>SUM(H25:H26)</f>
        <v>3</v>
      </c>
      <c r="I27" s="234">
        <f>I25+I26</f>
        <v>2529725.41</v>
      </c>
      <c r="J27" s="336">
        <f>SUM(J25:J26)</f>
        <v>4943157.2</v>
      </c>
      <c r="K27" s="336">
        <f>SUM(K25:K26)</f>
        <v>4943157.2</v>
      </c>
      <c r="L27" s="336">
        <f>SUM(L25:L26)</f>
        <v>4943157.2</v>
      </c>
      <c r="M27" s="192"/>
      <c r="N27" s="195"/>
      <c r="P27" s="192"/>
      <c r="Q27" s="192"/>
      <c r="R27" s="192"/>
    </row>
    <row r="28" spans="1:26" ht="22.9" hidden="1" customHeight="1" x14ac:dyDescent="0.25">
      <c r="A28" s="224" t="s">
        <v>157</v>
      </c>
      <c r="B28" s="231" t="s">
        <v>286</v>
      </c>
      <c r="C28" s="231" t="s">
        <v>20</v>
      </c>
      <c r="D28" s="231">
        <f>28+6</f>
        <v>34</v>
      </c>
      <c r="E28" s="231">
        <f>28+6</f>
        <v>34</v>
      </c>
      <c r="F28" s="231">
        <f>28+6</f>
        <v>34</v>
      </c>
      <c r="G28" s="231">
        <f>28+6</f>
        <v>34</v>
      </c>
      <c r="H28" s="231">
        <f>28+6</f>
        <v>34</v>
      </c>
      <c r="I28" s="232"/>
      <c r="J28" s="232"/>
      <c r="K28" s="349"/>
      <c r="L28" s="349"/>
      <c r="M28" s="192"/>
      <c r="P28" s="192"/>
    </row>
    <row r="29" spans="1:26" ht="22.9" hidden="1" customHeight="1" x14ac:dyDescent="0.25">
      <c r="A29" s="224"/>
      <c r="B29" s="231" t="s">
        <v>293</v>
      </c>
      <c r="C29" s="231" t="s">
        <v>20</v>
      </c>
      <c r="D29" s="231"/>
      <c r="E29" s="231"/>
      <c r="F29" s="231"/>
      <c r="G29" s="231"/>
      <c r="H29" s="231"/>
      <c r="I29" s="232"/>
      <c r="J29" s="233"/>
      <c r="K29" s="349"/>
      <c r="L29" s="349"/>
      <c r="M29" s="192"/>
      <c r="P29" s="192"/>
    </row>
    <row r="30" spans="1:26" ht="18" hidden="1" customHeight="1" x14ac:dyDescent="0.25">
      <c r="A30" s="224"/>
      <c r="B30" s="231" t="s">
        <v>285</v>
      </c>
      <c r="C30" s="231" t="s">
        <v>20</v>
      </c>
      <c r="D30" s="231">
        <f>21+11</f>
        <v>32</v>
      </c>
      <c r="E30" s="231">
        <f t="shared" ref="E30:H31" si="9">21+11</f>
        <v>32</v>
      </c>
      <c r="F30" s="231">
        <f t="shared" si="9"/>
        <v>32</v>
      </c>
      <c r="G30" s="231">
        <f t="shared" si="9"/>
        <v>32</v>
      </c>
      <c r="H30" s="231">
        <f t="shared" si="9"/>
        <v>32</v>
      </c>
      <c r="I30" s="232"/>
      <c r="J30" s="232"/>
      <c r="K30" s="349"/>
      <c r="L30" s="349"/>
      <c r="M30" s="192"/>
      <c r="P30" s="192"/>
    </row>
    <row r="31" spans="1:26" hidden="1" x14ac:dyDescent="0.25">
      <c r="A31" s="231"/>
      <c r="B31" s="231" t="s">
        <v>229</v>
      </c>
      <c r="C31" s="231" t="s">
        <v>20</v>
      </c>
      <c r="D31" s="231">
        <f>21+11</f>
        <v>32</v>
      </c>
      <c r="E31" s="231">
        <f t="shared" si="9"/>
        <v>32</v>
      </c>
      <c r="F31" s="231">
        <f t="shared" si="9"/>
        <v>32</v>
      </c>
      <c r="G31" s="231">
        <f t="shared" si="9"/>
        <v>32</v>
      </c>
      <c r="H31" s="231">
        <f t="shared" si="9"/>
        <v>32</v>
      </c>
      <c r="I31" s="232"/>
      <c r="J31" s="232"/>
      <c r="K31" s="349">
        <f>J31</f>
        <v>0</v>
      </c>
      <c r="L31" s="349">
        <f>K31</f>
        <v>0</v>
      </c>
      <c r="M31" s="192"/>
    </row>
    <row r="32" spans="1:26" ht="23.45" customHeight="1" x14ac:dyDescent="0.25">
      <c r="A32" s="421" t="s">
        <v>230</v>
      </c>
      <c r="B32" s="422"/>
      <c r="C32" s="423"/>
      <c r="D32" s="231"/>
      <c r="E32" s="231"/>
      <c r="F32" s="231"/>
      <c r="G32" s="231"/>
      <c r="H32" s="231"/>
      <c r="I32" s="232"/>
      <c r="J32" s="345">
        <f>J17+J24+J27</f>
        <v>37571922.36028</v>
      </c>
      <c r="K32" s="345">
        <f t="shared" ref="K32:L32" si="10">K17+K24+K27</f>
        <v>27585475.279999997</v>
      </c>
      <c r="L32" s="345">
        <f t="shared" si="10"/>
        <v>27585475.279999997</v>
      </c>
      <c r="M32" s="192"/>
      <c r="N32" s="192"/>
      <c r="O32" s="193"/>
      <c r="Q32" s="192"/>
      <c r="R32" s="192"/>
    </row>
    <row r="33" spans="1:18" ht="13.15" customHeight="1" x14ac:dyDescent="0.25">
      <c r="J33" s="192"/>
      <c r="M33" s="192"/>
      <c r="N33" s="192"/>
    </row>
    <row r="34" spans="1:18" x14ac:dyDescent="0.25">
      <c r="J34" s="187"/>
      <c r="K34" s="189"/>
      <c r="L34" s="189"/>
    </row>
    <row r="35" spans="1:18" x14ac:dyDescent="0.25">
      <c r="A35" s="182" t="s">
        <v>233</v>
      </c>
      <c r="J35" s="192"/>
      <c r="M35" s="194"/>
      <c r="Q35" s="192"/>
      <c r="R35" s="192"/>
    </row>
    <row r="36" spans="1:18" x14ac:dyDescent="0.25">
      <c r="A36" s="182" t="s">
        <v>178</v>
      </c>
      <c r="J36" s="192"/>
      <c r="K36" s="192"/>
      <c r="L36" s="192"/>
      <c r="Q36" s="192"/>
      <c r="R36" s="192"/>
    </row>
    <row r="37" spans="1:18" x14ac:dyDescent="0.25">
      <c r="J37" s="192"/>
      <c r="K37" s="209"/>
    </row>
    <row r="38" spans="1:18" x14ac:dyDescent="0.25">
      <c r="J38" s="192"/>
      <c r="K38" s="192"/>
      <c r="L38" s="192"/>
    </row>
    <row r="39" spans="1:18" x14ac:dyDescent="0.25">
      <c r="J39" s="192"/>
      <c r="K39" s="192"/>
      <c r="L39" s="192"/>
    </row>
    <row r="40" spans="1:18" x14ac:dyDescent="0.25">
      <c r="J40" s="192"/>
      <c r="K40" s="192"/>
      <c r="L40" s="192"/>
    </row>
    <row r="41" spans="1:18" x14ac:dyDescent="0.25">
      <c r="J41" s="192"/>
      <c r="K41" s="192"/>
      <c r="L41" s="192"/>
    </row>
    <row r="42" spans="1:18" x14ac:dyDescent="0.25">
      <c r="J42" s="187"/>
    </row>
    <row r="43" spans="1:18" x14ac:dyDescent="0.25">
      <c r="J43" s="192"/>
      <c r="K43" s="192"/>
      <c r="L43" s="192"/>
    </row>
    <row r="44" spans="1:18" x14ac:dyDescent="0.25">
      <c r="J44" s="192"/>
      <c r="K44" s="192"/>
      <c r="L44" s="192"/>
    </row>
    <row r="45" spans="1:18" x14ac:dyDescent="0.25">
      <c r="J45" s="192"/>
      <c r="K45" s="192"/>
      <c r="L45" s="192"/>
    </row>
    <row r="46" spans="1:18" x14ac:dyDescent="0.25">
      <c r="J46" s="192"/>
      <c r="K46" s="192"/>
      <c r="L46" s="192"/>
    </row>
    <row r="47" spans="1:18" x14ac:dyDescent="0.25">
      <c r="J47" s="192"/>
      <c r="K47" s="192"/>
      <c r="L47" s="192"/>
    </row>
    <row r="48" spans="1:18" x14ac:dyDescent="0.25">
      <c r="J48" s="192"/>
      <c r="K48" s="192"/>
      <c r="L48" s="192"/>
    </row>
    <row r="49" spans="9:12" x14ac:dyDescent="0.25">
      <c r="J49" s="192"/>
      <c r="K49" s="192"/>
      <c r="L49" s="192"/>
    </row>
    <row r="50" spans="9:12" x14ac:dyDescent="0.25">
      <c r="J50" s="192"/>
      <c r="K50" s="192"/>
      <c r="L50" s="192"/>
    </row>
    <row r="51" spans="9:12" x14ac:dyDescent="0.25">
      <c r="J51" s="192"/>
      <c r="K51" s="192"/>
      <c r="L51" s="192"/>
    </row>
    <row r="52" spans="9:12" x14ac:dyDescent="0.25">
      <c r="J52" s="192"/>
      <c r="K52" s="192"/>
      <c r="L52" s="192"/>
    </row>
    <row r="53" spans="9:12" x14ac:dyDescent="0.25">
      <c r="J53" s="192"/>
      <c r="K53" s="192"/>
      <c r="L53" s="192"/>
    </row>
    <row r="54" spans="9:12" x14ac:dyDescent="0.25">
      <c r="J54" s="192"/>
      <c r="K54" s="192"/>
      <c r="L54" s="192"/>
    </row>
    <row r="55" spans="9:12" x14ac:dyDescent="0.25">
      <c r="J55" s="192"/>
      <c r="K55" s="192"/>
      <c r="L55" s="192"/>
    </row>
    <row r="56" spans="9:12" x14ac:dyDescent="0.25">
      <c r="J56" s="192"/>
      <c r="K56" s="192"/>
      <c r="L56" s="192"/>
    </row>
    <row r="57" spans="9:12" x14ac:dyDescent="0.25">
      <c r="J57" s="192"/>
      <c r="K57" s="192"/>
      <c r="L57" s="192"/>
    </row>
    <row r="58" spans="9:12" x14ac:dyDescent="0.25">
      <c r="J58" s="192"/>
      <c r="K58" s="192"/>
      <c r="L58" s="192"/>
    </row>
    <row r="59" spans="9:12" x14ac:dyDescent="0.25">
      <c r="J59" s="192"/>
      <c r="K59" s="192"/>
      <c r="L59" s="192"/>
    </row>
    <row r="60" spans="9:12" hidden="1" x14ac:dyDescent="0.25">
      <c r="J60" s="192"/>
      <c r="K60" s="192"/>
      <c r="L60" s="192"/>
    </row>
    <row r="61" spans="9:12" s="189" customFormat="1" hidden="1" x14ac:dyDescent="0.25">
      <c r="J61" s="187"/>
    </row>
    <row r="62" spans="9:12" s="189" customFormat="1" hidden="1" x14ac:dyDescent="0.25">
      <c r="J62" s="187">
        <v>8088944</v>
      </c>
      <c r="K62" s="187">
        <v>6148700</v>
      </c>
      <c r="L62" s="187"/>
    </row>
    <row r="63" spans="9:12" s="189" customFormat="1" hidden="1" x14ac:dyDescent="0.25">
      <c r="J63" s="187">
        <f>J62/I70</f>
        <v>70.836345803558913</v>
      </c>
      <c r="K63" s="187">
        <f>K62/I70</f>
        <v>53.845278128065011</v>
      </c>
      <c r="L63" s="187"/>
    </row>
    <row r="64" spans="9:12" s="189" customFormat="1" hidden="1" x14ac:dyDescent="0.25">
      <c r="I64" s="189">
        <f t="shared" ref="I64:I69" si="11">D11</f>
        <v>21600</v>
      </c>
      <c r="J64" s="187">
        <f t="shared" ref="J64:J69" si="12">I64*$J$63</f>
        <v>1530065.0693568725</v>
      </c>
      <c r="K64" s="187">
        <f t="shared" ref="K64:K69" si="13">I64*$K$63</f>
        <v>1163058.0075662043</v>
      </c>
    </row>
    <row r="65" spans="9:11" s="189" customFormat="1" hidden="1" x14ac:dyDescent="0.25">
      <c r="I65" s="189">
        <f t="shared" si="11"/>
        <v>15696</v>
      </c>
      <c r="J65" s="187">
        <f t="shared" si="12"/>
        <v>1111847.2837326608</v>
      </c>
      <c r="K65" s="187">
        <f t="shared" si="13"/>
        <v>845155.48549810844</v>
      </c>
    </row>
    <row r="66" spans="9:11" s="189" customFormat="1" hidden="1" x14ac:dyDescent="0.25">
      <c r="I66" s="189">
        <f t="shared" si="11"/>
        <v>7200</v>
      </c>
      <c r="J66" s="187">
        <f t="shared" si="12"/>
        <v>510021.68978562416</v>
      </c>
      <c r="K66" s="187">
        <f t="shared" si="13"/>
        <v>387686.0025220681</v>
      </c>
    </row>
    <row r="67" spans="9:11" s="189" customFormat="1" hidden="1" x14ac:dyDescent="0.25">
      <c r="I67" s="189">
        <f t="shared" si="11"/>
        <v>12240</v>
      </c>
      <c r="J67" s="187">
        <f t="shared" si="12"/>
        <v>867036.87263556104</v>
      </c>
      <c r="K67" s="187">
        <f t="shared" si="13"/>
        <v>659066.20428751572</v>
      </c>
    </row>
    <row r="68" spans="9:11" s="189" customFormat="1" hidden="1" x14ac:dyDescent="0.25">
      <c r="I68" s="189">
        <f t="shared" si="11"/>
        <v>38916</v>
      </c>
      <c r="J68" s="187">
        <f t="shared" si="12"/>
        <v>2756667.2332912986</v>
      </c>
      <c r="K68" s="187">
        <f t="shared" si="13"/>
        <v>2095442.8436317779</v>
      </c>
    </row>
    <row r="69" spans="9:11" s="189" customFormat="1" hidden="1" x14ac:dyDescent="0.25">
      <c r="I69" s="189">
        <f t="shared" si="11"/>
        <v>18540</v>
      </c>
      <c r="J69" s="187">
        <f t="shared" si="12"/>
        <v>1313305.8511979822</v>
      </c>
      <c r="K69" s="187">
        <f t="shared" si="13"/>
        <v>998291.45649432531</v>
      </c>
    </row>
    <row r="70" spans="9:11" s="189" customFormat="1" hidden="1" x14ac:dyDescent="0.25">
      <c r="I70" s="189">
        <f>SUM(I64:I69)</f>
        <v>114192</v>
      </c>
      <c r="J70" s="187">
        <f>SUM(J64:J69)</f>
        <v>8088944</v>
      </c>
      <c r="K70" s="187">
        <f>SUM(K64:K69)</f>
        <v>6148700</v>
      </c>
    </row>
    <row r="71" spans="9:11" s="189" customFormat="1" hidden="1" x14ac:dyDescent="0.25">
      <c r="J71" s="187"/>
    </row>
  </sheetData>
  <mergeCells count="11">
    <mergeCell ref="T7:T8"/>
    <mergeCell ref="U7:U8"/>
    <mergeCell ref="A5:L5"/>
    <mergeCell ref="D7:H7"/>
    <mergeCell ref="I7:I8"/>
    <mergeCell ref="J7:L7"/>
    <mergeCell ref="A32:C32"/>
    <mergeCell ref="B7:B8"/>
    <mergeCell ref="A7:A8"/>
    <mergeCell ref="C7:C8"/>
    <mergeCell ref="A25:A26"/>
  </mergeCells>
  <pageMargins left="0" right="0" top="0.15748031496062992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2021-02-16T04:22:14Z</cp:lastPrinted>
  <dcterms:created xsi:type="dcterms:W3CDTF">2018-11-21T04:22:49Z</dcterms:created>
  <dcterms:modified xsi:type="dcterms:W3CDTF">2021-03-15T09:48:18Z</dcterms:modified>
</cp:coreProperties>
</file>