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40" windowWidth="15456" windowHeight="7620"/>
  </bookViews>
  <sheets>
    <sheet name="Прил.№2" sheetId="1" r:id="rId1"/>
    <sheet name="Лист1" sheetId="2" r:id="rId2"/>
  </sheets>
  <externalReferences>
    <externalReference r:id="rId3"/>
  </externalReferences>
  <calcPr calcId="124519"/>
</workbook>
</file>

<file path=xl/calcChain.xml><?xml version="1.0" encoding="utf-8"?>
<calcChain xmlns="http://schemas.openxmlformats.org/spreadsheetml/2006/main">
  <c r="I130" i="1"/>
  <c r="I129"/>
  <c r="I128"/>
  <c r="I127"/>
  <c r="I126"/>
  <c r="I125"/>
  <c r="E130"/>
  <c r="E129"/>
  <c r="E128"/>
  <c r="E127"/>
  <c r="E126"/>
  <c r="E125"/>
  <c r="AL126"/>
  <c r="AL125"/>
  <c r="AL128"/>
  <c r="AL129"/>
  <c r="AL130"/>
  <c r="AL127"/>
  <c r="AK126"/>
  <c r="AK127"/>
  <c r="AK128"/>
  <c r="AK129"/>
  <c r="AK130"/>
  <c r="AK125"/>
  <c r="AJ130"/>
  <c r="AJ129"/>
  <c r="AJ128"/>
  <c r="AJ127"/>
  <c r="AJ126"/>
  <c r="AI126"/>
  <c r="AI127"/>
  <c r="AI128"/>
  <c r="AI129"/>
  <c r="AI130"/>
  <c r="AE129"/>
  <c r="AG130"/>
  <c r="AF130"/>
  <c r="AG129" l="1"/>
  <c r="AF129"/>
  <c r="AE128" l="1"/>
  <c r="AG128"/>
  <c r="AF128"/>
  <c r="AE127" l="1"/>
  <c r="AG127" s="1"/>
  <c r="AF127"/>
  <c r="AE126" l="1"/>
  <c r="AG126" s="1"/>
  <c r="AE125"/>
  <c r="AF126"/>
  <c r="Z125" l="1"/>
  <c r="AG125"/>
  <c r="AI125" s="1"/>
  <c r="AJ125" s="1"/>
  <c r="AF125"/>
  <c r="AC132" l="1"/>
  <c r="AC131"/>
  <c r="AB132"/>
  <c r="AB131"/>
  <c r="Z131"/>
  <c r="Y132"/>
  <c r="Y131"/>
  <c r="Y130"/>
  <c r="Y129"/>
  <c r="Y128"/>
  <c r="Y127"/>
  <c r="Y126"/>
  <c r="Y125"/>
  <c r="AK9"/>
  <c r="AL9" s="1"/>
  <c r="AI9"/>
  <c r="AJ9" s="1"/>
  <c r="AG9"/>
  <c r="K131" l="1"/>
  <c r="J131"/>
  <c r="I131"/>
  <c r="E131" l="1"/>
  <c r="E132"/>
  <c r="K132"/>
  <c r="J132"/>
  <c r="E139" l="1"/>
  <c r="E140"/>
  <c r="E141"/>
  <c r="E142"/>
  <c r="E143"/>
  <c r="E144"/>
  <c r="S106" l="1"/>
  <c r="R82"/>
  <c r="R107"/>
  <c r="T48" l="1"/>
  <c r="W48" s="1"/>
  <c r="O42" l="1"/>
  <c r="J14" l="1"/>
  <c r="J17"/>
  <c r="J11"/>
  <c r="I11" l="1"/>
  <c r="E11"/>
  <c r="I18" l="1"/>
  <c r="I41"/>
  <c r="I33"/>
  <c r="E33"/>
  <c r="E41"/>
  <c r="E18"/>
  <c r="I119"/>
  <c r="E119"/>
  <c r="I118"/>
  <c r="E118"/>
  <c r="I117"/>
  <c r="F117"/>
  <c r="F115"/>
  <c r="E115" s="1"/>
  <c r="E116"/>
  <c r="I116" s="1"/>
  <c r="I114"/>
  <c r="F114"/>
  <c r="I113"/>
  <c r="F113"/>
  <c r="I110"/>
  <c r="I111"/>
  <c r="I112"/>
  <c r="I109"/>
  <c r="I105"/>
  <c r="I104"/>
  <c r="I103"/>
  <c r="I102"/>
  <c r="F105"/>
  <c r="F104"/>
  <c r="F103"/>
  <c r="F102"/>
  <c r="I101"/>
  <c r="F101"/>
  <c r="I100"/>
  <c r="E100"/>
  <c r="E99"/>
  <c r="I98"/>
  <c r="I97"/>
  <c r="F98"/>
  <c r="F97"/>
  <c r="I86"/>
  <c r="I87"/>
  <c r="I88"/>
  <c r="I89"/>
  <c r="I90"/>
  <c r="I91"/>
  <c r="I92"/>
  <c r="I93"/>
  <c r="I94"/>
  <c r="I95"/>
  <c r="I96"/>
  <c r="I85"/>
  <c r="I80"/>
  <c r="F80"/>
  <c r="I79"/>
  <c r="I78"/>
  <c r="I77"/>
  <c r="I76"/>
  <c r="F79"/>
  <c r="F78"/>
  <c r="F77"/>
  <c r="F76"/>
  <c r="I75"/>
  <c r="F75"/>
  <c r="I74"/>
  <c r="I73"/>
  <c r="I72"/>
  <c r="I71"/>
  <c r="F72"/>
  <c r="F7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51"/>
  <c r="E67"/>
  <c r="E68"/>
  <c r="I47" l="1"/>
  <c r="I46"/>
  <c r="I45"/>
  <c r="I44"/>
  <c r="F47"/>
  <c r="F46"/>
  <c r="F45"/>
  <c r="F44"/>
  <c r="I43"/>
  <c r="F43"/>
  <c r="G43"/>
  <c r="G44"/>
  <c r="G45"/>
  <c r="G46"/>
  <c r="G47"/>
  <c r="G71"/>
  <c r="G72"/>
  <c r="G75"/>
  <c r="G76"/>
  <c r="G77"/>
  <c r="G78"/>
  <c r="G79"/>
  <c r="G80"/>
  <c r="G97"/>
  <c r="G98"/>
  <c r="G101"/>
  <c r="G102"/>
  <c r="G103"/>
  <c r="G104"/>
  <c r="G105"/>
  <c r="G113"/>
  <c r="G114"/>
  <c r="G117"/>
  <c r="I39"/>
  <c r="I36"/>
  <c r="I30"/>
  <c r="I27"/>
  <c r="I26"/>
  <c r="I23"/>
  <c r="I21"/>
  <c r="I17"/>
  <c r="I14"/>
  <c r="I12"/>
  <c r="I15"/>
  <c r="T82" l="1"/>
  <c r="R48"/>
  <c r="E12" l="1"/>
  <c r="E14"/>
  <c r="E15"/>
  <c r="E17"/>
  <c r="E21"/>
  <c r="E23"/>
  <c r="E26"/>
  <c r="E27"/>
  <c r="E30"/>
  <c r="E36"/>
  <c r="E39"/>
  <c r="E105" l="1"/>
  <c r="E104"/>
  <c r="E103"/>
  <c r="E102"/>
  <c r="E79"/>
  <c r="E78"/>
  <c r="E77"/>
  <c r="E76"/>
  <c r="E47"/>
  <c r="E46"/>
  <c r="E45"/>
  <c r="E44"/>
  <c r="E117"/>
  <c r="W82" l="1"/>
  <c r="E43" l="1"/>
  <c r="E42" l="1"/>
  <c r="E75" l="1"/>
  <c r="E110"/>
  <c r="E111"/>
  <c r="E112"/>
  <c r="E52"/>
  <c r="E53"/>
  <c r="E54"/>
  <c r="E55"/>
  <c r="E56"/>
  <c r="E57"/>
  <c r="E58"/>
  <c r="E59"/>
  <c r="E60"/>
  <c r="E61"/>
  <c r="E62"/>
  <c r="E63"/>
  <c r="E64"/>
  <c r="E65"/>
  <c r="E66"/>
  <c r="E69"/>
  <c r="E70"/>
  <c r="E94"/>
  <c r="E92"/>
  <c r="E88"/>
  <c r="E86"/>
  <c r="E109"/>
  <c r="E87"/>
  <c r="E89"/>
  <c r="E90"/>
  <c r="E91"/>
  <c r="E93"/>
  <c r="E95"/>
  <c r="E96"/>
  <c r="E85"/>
  <c r="E74"/>
  <c r="E51"/>
  <c r="E114"/>
  <c r="E113"/>
  <c r="E101"/>
  <c r="E98"/>
  <c r="E97"/>
  <c r="E80"/>
  <c r="E73"/>
  <c r="E72"/>
  <c r="E71"/>
  <c r="I99"/>
  <c r="I115"/>
</calcChain>
</file>

<file path=xl/sharedStrings.xml><?xml version="1.0" encoding="utf-8"?>
<sst xmlns="http://schemas.openxmlformats.org/spreadsheetml/2006/main" count="681" uniqueCount="165">
  <si>
    <t>Краевой норматив на административно-управленический и учебно-вспомогательный персонал</t>
  </si>
  <si>
    <t>Затраты на содержание недвижимого имущества</t>
  </si>
  <si>
    <t>Базовые нормативы затрат для муниципальных учреждений</t>
  </si>
  <si>
    <t>Наименование услуги и уникальный номер реестровой записи</t>
  </si>
  <si>
    <t>Базовый норматив затрат на единицу объема</t>
  </si>
  <si>
    <t>Краевой норматив на образовательную услугу</t>
  </si>
  <si>
    <t>Затраты на оплату труда работников, непосредственно связанных с оказанием услуги</t>
  </si>
  <si>
    <t>Затраты на коммунальные услуги</t>
  </si>
  <si>
    <t>в соответствии с перечнем</t>
  </si>
  <si>
    <t>в рублях</t>
  </si>
  <si>
    <t>Группы общеразвивающей направленности (за исключением малокомплектных образовательных организаций)</t>
  </si>
  <si>
    <t>городской населенный пункт</t>
  </si>
  <si>
    <t>сельский населенный пункт</t>
  </si>
  <si>
    <t>0,00</t>
  </si>
  <si>
    <t>чел.</t>
  </si>
  <si>
    <t>группа</t>
  </si>
  <si>
    <t>Ед.изм. Услуги</t>
  </si>
  <si>
    <t>Обучение детей  в образовательных организациях, реализующих программы общего образования (k = 1)</t>
  </si>
  <si>
    <t>человек</t>
  </si>
  <si>
    <t xml:space="preserve">Обучение детей  в малокомплектных образовательных организациях, расположенных в городских населенных пунктах, и в классах с наполняемостью 20 и более человек, созданных в малокомплектных образовательных организациях, расположенных в сельских населенных </t>
  </si>
  <si>
    <t>класс/человек</t>
  </si>
  <si>
    <t>Обучение детей в классах с наполняемостью менее 20 человек, созданных в малокомплектных образовательных организациях, расположенных в сельских населенных пунктах (за исключением детей с ограниченными возможностями здоровья, обучающихся в отдельных классах) (k = 5)</t>
  </si>
  <si>
    <t>Х</t>
  </si>
  <si>
    <t>х</t>
  </si>
  <si>
    <t>Обучение детей  в образовательных организациях, реализующих программы общего образования (k = 1) с углубленным изучением предметов</t>
  </si>
  <si>
    <t>Форма организации обучения детей. Направленность групп образовательной организации</t>
  </si>
  <si>
    <t>Наименование образовательной организации</t>
  </si>
  <si>
    <t>МБОУ ДО "ДДТ"</t>
  </si>
  <si>
    <t>1. Образовательные учреждения</t>
  </si>
  <si>
    <t>2. Учреждения дополнительного образования детей (местный бюджет)</t>
  </si>
  <si>
    <t>Группы общеразвивающей направленности, созданные в малокомплектных образовательных организациях, сельский населенный пункт</t>
  </si>
  <si>
    <t>Группы общеразвивающей направленности, в которых воспитанники посещают бассейн (дополнительный норматив)</t>
  </si>
  <si>
    <t>Местный норматив на содержание учреждения</t>
  </si>
  <si>
    <t>Инклюзивное обучение детей c ограниченными возможностями здоровья в общеобразовательных классах образовательных организаций (k = 9) в т.ч:</t>
  </si>
  <si>
    <t>Индивидуальное обучение детей при наличии соответствующего медицинского заключения и детей-инвалидов на дому (k = 10) город</t>
  </si>
  <si>
    <t>Обучение детей, находящихся на длительном лечении в медицинских учреждениях (индивидуальное, групповое) (k = 11) город</t>
  </si>
  <si>
    <t>Обучение детей, находящихся на длительном лечении в медицинских учреждениях (индивидуальное, групповое) (k = 11) село</t>
  </si>
  <si>
    <t>t=6 город</t>
  </si>
  <si>
    <t>t=6 село</t>
  </si>
  <si>
    <t>t=12 город</t>
  </si>
  <si>
    <t>t=12 село</t>
  </si>
  <si>
    <t xml:space="preserve"> Индивидуальное обучение детей при наличии соответствующего медицинского заключения и детей-инвалидов на дому (k = 10) село</t>
  </si>
  <si>
    <t>Индивидуальное обучение детей при наличии соответствующего медицинского заключения и детей-инвалидов на дому (k = 10) село</t>
  </si>
  <si>
    <t>Инклюзивное обучение детей c ограниченными возможностями здоровья в общеобразовательных классах образовательных организаций (k = 9) в т.ч :</t>
  </si>
  <si>
    <t>t=2 город</t>
  </si>
  <si>
    <t>t=2 село</t>
  </si>
  <si>
    <t>t=4 город</t>
  </si>
  <si>
    <t>t=4 село</t>
  </si>
  <si>
    <t>t=8 город</t>
  </si>
  <si>
    <t>t=8 село</t>
  </si>
  <si>
    <t>t=10 город</t>
  </si>
  <si>
    <t>t=10 село</t>
  </si>
  <si>
    <t>t=5 город</t>
  </si>
  <si>
    <t>t=5 село</t>
  </si>
  <si>
    <t>t=7 город</t>
  </si>
  <si>
    <t>t=7 село</t>
  </si>
  <si>
    <t>t=9 город</t>
  </si>
  <si>
    <t>t=9 село</t>
  </si>
  <si>
    <t>человек-час</t>
  </si>
  <si>
    <t>Чесалина Татьяна Викторовна (39144)3-16-33</t>
  </si>
  <si>
    <t>от 3 до 7 лет (b=8)</t>
  </si>
  <si>
    <t>Дополнительное образование детей в образовательных организациях, реализующих основные общеобразовательные программы (город)</t>
  </si>
  <si>
    <t>Дополнительное образование детей в образовательных организациях, реализующих основные общеобразовательные программы (село)</t>
  </si>
  <si>
    <t xml:space="preserve">Приложение № 2 к Приказу </t>
  </si>
  <si>
    <t xml:space="preserve"> договоров (штук)</t>
  </si>
  <si>
    <t>Реализация дополнительных общеразвивающих программ (техническое направление) 804200О.99.0.ББ52АЕ04000</t>
  </si>
  <si>
    <t>Реализация дополнительных общеразвивающих программ (туристическо-краеведческое направление)  804200О.99.0.ББ52А368000</t>
  </si>
  <si>
    <t>Реализация дополнительных общеразвивающих программ (физкультурно-спортивное направление)  804200О.99.0.ББ52АЕ52000</t>
  </si>
  <si>
    <t>Реализация дополнительных общеразвивающих программ (художественное направление) 804200О.99.0.ББ52АЕ76000</t>
  </si>
  <si>
    <t>Обеспечение доступа к объектам спорта( спортал) Р.03.1.0026.0001.001</t>
  </si>
  <si>
    <t>Обеспечение доступа к объектам спорта(бассейн) Р.03.1.0026.0001.001</t>
  </si>
  <si>
    <t>Реализация дополнительных общеразвивающих программ (естественно-научное направление)  804200О.99.0.ББ52АЕ28000; 804200О.99.0.ББ52АЕ28000</t>
  </si>
  <si>
    <t>Присмотр и уход  853211О.99.0.БВ19АА68000; 853211О.99.0.БВ19АА56000; 853211О.99.0.БВ19АБ82000; 853211О.99.0.БВ19АА20000</t>
  </si>
  <si>
    <t>Реализация основных общеобразовательных программ начального общего образования  801012О.99.0.БА81АЭ92001; 801012О.99.0.БА81АА00001; 801012О.99.0.БА81АЮ16001</t>
  </si>
  <si>
    <t>Реализация основных общеобразовательных программ основного общего образования  802111О.99.0.БАЮ58001; 802111О.99.0.БА96АА00001; 802111О.99.0.БА96АЮ83001</t>
  </si>
  <si>
    <t>Реализация основных общеобразовательных программ среднего общего образования 802112О.99.0.ББ11АЮ58001; 802112О.99.0.ББ11АА00001; 802112О.99.0.ББ11АЮ83001</t>
  </si>
  <si>
    <t>Реализация дополнительных общеобразовательных общеразвивающих программ 801012О.99.0.ББ57АЕ52000; 804200О.99.0.ББ52АЕ76000; 804200О.99.0.ББ52АЕ04000; 804200О.99.0.ББ52АЖ24000</t>
  </si>
  <si>
    <t>Реализация основных образовательных программ дошкольного образования 801011О.99.0.БВ24ДП02000; 801011О.99.0.БВ24ДН82000; 801011О.99.0.БВ24ГД82000; 801011О.99.0.БВ24АУ02000; 801011О.99.0.БВ24АВ42000;</t>
  </si>
  <si>
    <t xml:space="preserve">Приложение № 1 к Приказу </t>
  </si>
  <si>
    <t>от 26.08.2019 г. № 177</t>
  </si>
  <si>
    <t>Дополнительное образование детей в образовательных организациях, реализующих основные общеобразовательные программы (дети, посещающие бассейн)</t>
  </si>
  <si>
    <t>шк2</t>
  </si>
  <si>
    <t>шк4</t>
  </si>
  <si>
    <t>шк5</t>
  </si>
  <si>
    <t>шк9</t>
  </si>
  <si>
    <t>гим 10</t>
  </si>
  <si>
    <t>шк 7</t>
  </si>
  <si>
    <t>шк 2</t>
  </si>
  <si>
    <t>шк 4</t>
  </si>
  <si>
    <t>шк 5</t>
  </si>
  <si>
    <t>шк 9</t>
  </si>
  <si>
    <t>К1</t>
  </si>
  <si>
    <t>до 3 лет (b3)</t>
  </si>
  <si>
    <t>от 3 до 7 лет (b8)</t>
  </si>
  <si>
    <t>К11</t>
  </si>
  <si>
    <t>разновозрастные группы (b13)</t>
  </si>
  <si>
    <t>Группы компенсирующей направленности для воспитанников с ограниченными возможностями здоровья (за исключением малокомплектных образовательных организаций)</t>
  </si>
  <si>
    <t>К2</t>
  </si>
  <si>
    <t>от 3 до 7 лет город (b8)</t>
  </si>
  <si>
    <t>К3</t>
  </si>
  <si>
    <t>от 3 до 7 лет  (b13)</t>
  </si>
  <si>
    <t>К5</t>
  </si>
  <si>
    <t>Группы комбинированной  направленности (за исключением малокомплектных образовательных организаций), городской населенный пункт</t>
  </si>
  <si>
    <t>К9</t>
  </si>
  <si>
    <t>4001,99- на 1 человека</t>
  </si>
  <si>
    <t>4001,99на 1 человека</t>
  </si>
  <si>
    <t>672261,79- на 1 класс+ 1351,63- на 1 человека учебники</t>
  </si>
  <si>
    <t xml:space="preserve">632825,14- на 1 класс </t>
  </si>
  <si>
    <t>631732,78- на 1 класс+ 1351,63 на 1 человека</t>
  </si>
  <si>
    <t>601760,93 на 1 класс</t>
  </si>
  <si>
    <t>t=11 город</t>
  </si>
  <si>
    <t>t=11 село</t>
  </si>
  <si>
    <t>996986,30- на 1 класс+ 1649,65 на 1 человека</t>
  </si>
  <si>
    <t>957549,65- на 1 класс</t>
  </si>
  <si>
    <t>790160,23- на 1 класс+1649,65 на 1 человека</t>
  </si>
  <si>
    <t>760188,38 на 1 класс</t>
  </si>
  <si>
    <t>1192483,72- на 1 класс+1998,78 на 1 человека</t>
  </si>
  <si>
    <t>1153047,07- на 1 класс</t>
  </si>
  <si>
    <t>844004,86 на 1 класс+1998,78 на 1 человека</t>
  </si>
  <si>
    <t>814033,01- на 1 класс</t>
  </si>
  <si>
    <t>Заочное обучение детей в образовательных организациях, реализующие основные общеобразовательные программы (k = 13)</t>
  </si>
  <si>
    <t>от 3 до 7 лет (b=13)</t>
  </si>
  <si>
    <t>К10</t>
  </si>
  <si>
    <t xml:space="preserve">Группы компенсирующей направленности для  воспитанников с ограниченными возможностями здоровья, посещающих бассейн </t>
  </si>
  <si>
    <t>1192483,72- на 1 класс+51179,02 на 1 человека</t>
  </si>
  <si>
    <t>844004,86 на 1 класс+ 51179,02на 1 человека</t>
  </si>
  <si>
    <t>3. Учреждения дополнительного образования детей (норматив по ПФ ДОД)</t>
  </si>
  <si>
    <t>Реализация дополнительных общеразвивающих программ (Персонифицированное финансирование) (Техническое направление) 804200О.99.0.ББ52АЕ04000</t>
  </si>
  <si>
    <t>Реализация дополнительных общеразвивающих программ (Персонифицированное финансирование) (Туристическо-краеведческое направление)  804200О.99.0.ББ52А368000</t>
  </si>
  <si>
    <t>Реализация дополнительных общеразвивающих программ (Персонифицированное финансирование) (Физкультурно-спортивное направление)  804200О.99.0.ББ52АЕ52000</t>
  </si>
  <si>
    <t>Реализация дополнительных общеразвивающих программ (Персонифицированное финансирование) (Художественное направление) 804200О.99.0.ББ52АЕ76000</t>
  </si>
  <si>
    <t>Реализация дополнительных общеразвивающих программ (Персонифицированное финансирование) (Естественно-научное направление)  804200О.99.0.ББ52АЕ28000; 804200О.99.0.ББ52АЕ28000</t>
  </si>
  <si>
    <t>Реализация дополнительных общеразвивающих программ (социально-гуманитарное направление) 804200О.99.0.ББ52АЖ24000</t>
  </si>
  <si>
    <t>Реализация дополнительных общеразвивающих программ (Персонифицированное финансирование) (Социально-гуманитарное направление) 804200О.99.0.ББ52АЖ24000</t>
  </si>
  <si>
    <t>20869,50- на 1 человека</t>
  </si>
  <si>
    <t>3740,79- на 1 человека</t>
  </si>
  <si>
    <t>394,47- на 1 человека</t>
  </si>
  <si>
    <t>672261,79- на 1 класс + 26223,12 на 1 человека</t>
  </si>
  <si>
    <t>631732,78 на 1 класс+26223,12 на 1 человека</t>
  </si>
  <si>
    <t>996986,30- на 1 класс+ 25935,99 на 1 человека</t>
  </si>
  <si>
    <t>790160,23 на 1 класс+ 25935,99 на 1 человека</t>
  </si>
  <si>
    <t>20284,35 - на 1 человека</t>
  </si>
  <si>
    <t>3448,11- на 1 человека</t>
  </si>
  <si>
    <t>323,04- на 1 человека</t>
  </si>
  <si>
    <t>45178,25- на 1 человека</t>
  </si>
  <si>
    <t>15537,21- на 1 человека</t>
  </si>
  <si>
    <t>5016,20- на 1 человека</t>
  </si>
  <si>
    <t>в затраты на оплату труда не входит оплата труда АУП и местный</t>
  </si>
  <si>
    <t>x</t>
  </si>
  <si>
    <t>от 02.04.2021 г. № 42</t>
  </si>
  <si>
    <t>Базовый норматив затрат на единицу объема на 01.01.2021г.</t>
  </si>
  <si>
    <t>Затраты на на ОТ1 (з/п)</t>
  </si>
  <si>
    <t>материалы</t>
  </si>
  <si>
    <t>КУ</t>
  </si>
  <si>
    <t>Затраты на содержан.недвиж.имущ-ва</t>
  </si>
  <si>
    <t>связь</t>
  </si>
  <si>
    <t>Затраты на ОТ2</t>
  </si>
  <si>
    <t>Затраты прочие</t>
  </si>
  <si>
    <t>сумма прочих расходов</t>
  </si>
  <si>
    <t>Базовый норматив затрат на единицу объема на 17.02.2021г.</t>
  </si>
  <si>
    <r>
      <rPr>
        <b/>
        <sz val="9"/>
        <color theme="9" tint="-0.499984740745262"/>
        <rFont val="Calibri"/>
        <family val="2"/>
        <charset val="204"/>
        <scheme val="minor"/>
      </rPr>
      <t>з/п</t>
    </r>
    <r>
      <rPr>
        <sz val="9"/>
        <color theme="9" tint="-0.499984740745262"/>
        <rFont val="Calibri"/>
        <family val="2"/>
        <charset val="204"/>
        <scheme val="minor"/>
      </rPr>
      <t xml:space="preserve"> после корректировки 17.02.21г.</t>
    </r>
  </si>
  <si>
    <t>повышающ.коэф.на з/п</t>
  </si>
  <si>
    <r>
      <rPr>
        <b/>
        <sz val="9"/>
        <color rgb="FF0070C0"/>
        <rFont val="Calibri"/>
        <family val="2"/>
        <charset val="204"/>
        <scheme val="minor"/>
      </rPr>
      <t>з/п</t>
    </r>
    <r>
      <rPr>
        <sz val="9"/>
        <color rgb="FF0070C0"/>
        <rFont val="Calibri"/>
        <family val="2"/>
        <charset val="204"/>
        <scheme val="minor"/>
      </rPr>
      <t xml:space="preserve"> после корректировки 31.04.21г.</t>
    </r>
  </si>
  <si>
    <t>Базовый норматив затрат на единицу объема на 31.04.2021г.</t>
  </si>
  <si>
    <t>из прилож.№3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</si>
</sst>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#,##0.0000"/>
    <numFmt numFmtId="166" formatCode="#,##0.00000"/>
  </numFmts>
  <fonts count="33">
    <font>
      <sz val="10"/>
      <name val="Arial"/>
    </font>
    <font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theme="1"/>
      <name val="Calibri"/>
      <family val="2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b/>
      <sz val="10"/>
      <color rgb="FF0070C0"/>
      <name val="Times New Roman"/>
      <family val="1"/>
      <charset val="204"/>
    </font>
    <font>
      <sz val="8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8"/>
      <color theme="9" tint="-0.499984740745262"/>
      <name val="Times New Roman"/>
      <family val="1"/>
      <charset val="204"/>
    </font>
    <font>
      <sz val="9"/>
      <color theme="9" tint="-0.499984740745262"/>
      <name val="Calibri"/>
      <family val="2"/>
      <charset val="204"/>
      <scheme val="minor"/>
    </font>
    <font>
      <b/>
      <sz val="9"/>
      <color theme="9" tint="-0.499984740745262"/>
      <name val="Calibri"/>
      <family val="2"/>
      <charset val="204"/>
      <scheme val="minor"/>
    </font>
    <font>
      <sz val="9"/>
      <color rgb="FF0070C0"/>
      <name val="Calibri"/>
      <family val="2"/>
      <charset val="204"/>
      <scheme val="minor"/>
    </font>
    <font>
      <b/>
      <sz val="9"/>
      <color rgb="FF0070C0"/>
      <name val="Calibri"/>
      <family val="2"/>
      <charset val="204"/>
      <scheme val="minor"/>
    </font>
    <font>
      <sz val="8"/>
      <color rgb="FF0070C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9"/>
      <color rgb="FF0070C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9" tint="-0.49998474074526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theme="9" tint="-0.499984740745262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3" fillId="0" borderId="1"/>
  </cellStyleXfs>
  <cellXfs count="134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vertical="top"/>
    </xf>
    <xf numFmtId="0" fontId="8" fillId="0" borderId="0" xfId="0" applyFont="1" applyFill="1"/>
    <xf numFmtId="0" fontId="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9" fillId="0" borderId="0" xfId="0" applyFont="1" applyFill="1"/>
    <xf numFmtId="4" fontId="9" fillId="0" borderId="0" xfId="0" applyNumberFormat="1" applyFont="1" applyFill="1"/>
    <xf numFmtId="0" fontId="10" fillId="0" borderId="0" xfId="0" applyFont="1" applyFill="1"/>
    <xf numFmtId="0" fontId="9" fillId="0" borderId="0" xfId="0" applyFont="1" applyFill="1" applyAlignment="1">
      <alignment horizontal="center"/>
    </xf>
    <xf numFmtId="4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/>
    </xf>
    <xf numFmtId="0" fontId="2" fillId="3" borderId="0" xfId="1" applyFill="1"/>
    <xf numFmtId="0" fontId="9" fillId="3" borderId="0" xfId="0" applyFont="1" applyFill="1"/>
    <xf numFmtId="0" fontId="1" fillId="3" borderId="2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right" vertical="center"/>
    </xf>
    <xf numFmtId="0" fontId="4" fillId="3" borderId="1" xfId="0" applyFont="1" applyFill="1" applyBorder="1"/>
    <xf numFmtId="0" fontId="5" fillId="3" borderId="2" xfId="0" applyFont="1" applyFill="1" applyBorder="1" applyAlignment="1">
      <alignment horizontal="center" vertical="center" wrapText="1"/>
    </xf>
    <xf numFmtId="0" fontId="9" fillId="4" borderId="0" xfId="0" applyFont="1" applyFill="1"/>
    <xf numFmtId="4" fontId="11" fillId="3" borderId="1" xfId="0" applyNumberFormat="1" applyFont="1" applyFill="1" applyBorder="1" applyAlignment="1">
      <alignment horizontal="right"/>
    </xf>
    <xf numFmtId="0" fontId="13" fillId="0" borderId="0" xfId="0" applyFont="1" applyFill="1"/>
    <xf numFmtId="4" fontId="1" fillId="3" borderId="1" xfId="0" applyNumberFormat="1" applyFont="1" applyFill="1" applyBorder="1" applyAlignment="1">
      <alignment horizontal="right"/>
    </xf>
    <xf numFmtId="4" fontId="1" fillId="3" borderId="1" xfId="0" applyNumberFormat="1" applyFont="1" applyFill="1" applyBorder="1" applyAlignment="1">
      <alignment horizontal="right" indent="1"/>
    </xf>
    <xf numFmtId="0" fontId="12" fillId="0" borderId="0" xfId="0" applyFont="1" applyFill="1"/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horizontal="center" vertical="center" wrapText="1"/>
    </xf>
    <xf numFmtId="0" fontId="14" fillId="4" borderId="0" xfId="0" applyFont="1" applyFill="1"/>
    <xf numFmtId="0" fontId="14" fillId="0" borderId="0" xfId="0" applyFont="1" applyFill="1" applyAlignment="1">
      <alignment vertical="top"/>
    </xf>
    <xf numFmtId="0" fontId="14" fillId="0" borderId="0" xfId="0" applyFont="1" applyFill="1"/>
    <xf numFmtId="4" fontId="1" fillId="3" borderId="2" xfId="0" applyNumberFormat="1" applyFont="1" applyFill="1" applyBorder="1" applyAlignment="1">
      <alignment horizontal="righ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164" fontId="1" fillId="3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left" vertical="center" wrapText="1"/>
    </xf>
    <xf numFmtId="4" fontId="1" fillId="3" borderId="2" xfId="0" applyNumberFormat="1" applyFont="1" applyFill="1" applyBorder="1" applyAlignment="1">
      <alignment horizontal="left" vertical="center" wrapText="1"/>
    </xf>
    <xf numFmtId="4" fontId="6" fillId="3" borderId="2" xfId="0" applyNumberFormat="1" applyFont="1" applyFill="1" applyBorder="1" applyAlignment="1">
      <alignment vertical="center" wrapText="1"/>
    </xf>
    <xf numFmtId="0" fontId="9" fillId="3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4" fillId="0" borderId="1" xfId="0" applyFont="1" applyFill="1" applyBorder="1"/>
    <xf numFmtId="14" fontId="1" fillId="0" borderId="0" xfId="0" applyNumberFormat="1" applyFont="1" applyFill="1"/>
    <xf numFmtId="0" fontId="1" fillId="0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4" fontId="6" fillId="3" borderId="2" xfId="0" applyNumberFormat="1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4" fillId="0" borderId="4" xfId="2" applyFont="1" applyFill="1" applyBorder="1" applyAlignment="1">
      <alignment vertical="center" wrapText="1"/>
    </xf>
    <xf numFmtId="0" fontId="4" fillId="0" borderId="5" xfId="2" applyFont="1" applyFill="1" applyBorder="1" applyAlignment="1">
      <alignment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4" fontId="1" fillId="3" borderId="5" xfId="0" applyNumberFormat="1" applyFont="1" applyFill="1" applyBorder="1" applyAlignment="1">
      <alignment horizontal="center" vertical="center" wrapText="1"/>
    </xf>
    <xf numFmtId="0" fontId="15" fillId="5" borderId="0" xfId="0" applyFont="1" applyFill="1" applyAlignment="1">
      <alignment vertical="center" wrapText="1"/>
    </xf>
    <xf numFmtId="4" fontId="11" fillId="3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9" fillId="0" borderId="1" xfId="0" applyFont="1" applyFill="1" applyBorder="1"/>
    <xf numFmtId="0" fontId="9" fillId="3" borderId="1" xfId="0" applyFont="1" applyFill="1" applyBorder="1"/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top"/>
    </xf>
    <xf numFmtId="0" fontId="4" fillId="0" borderId="3" xfId="2" applyFont="1" applyFill="1" applyBorder="1" applyAlignment="1">
      <alignment horizontal="left" vertical="center" wrapText="1"/>
    </xf>
    <xf numFmtId="0" fontId="4" fillId="0" borderId="4" xfId="2" applyFont="1" applyFill="1" applyBorder="1" applyAlignment="1">
      <alignment horizontal="left" vertical="center" wrapText="1"/>
    </xf>
    <xf numFmtId="0" fontId="4" fillId="0" borderId="5" xfId="2" applyFont="1" applyFill="1" applyBorder="1" applyAlignment="1">
      <alignment horizontal="left" vertical="center" wrapText="1"/>
    </xf>
    <xf numFmtId="0" fontId="1" fillId="0" borderId="3" xfId="1" applyFont="1" applyFill="1" applyBorder="1" applyAlignment="1">
      <alignment horizontal="left" vertical="center" wrapText="1"/>
    </xf>
    <xf numFmtId="0" fontId="1" fillId="0" borderId="4" xfId="1" applyFont="1" applyFill="1" applyBorder="1" applyAlignment="1">
      <alignment horizontal="left" vertical="center" wrapText="1"/>
    </xf>
    <xf numFmtId="0" fontId="1" fillId="0" borderId="5" xfId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14" fontId="17" fillId="3" borderId="2" xfId="0" applyNumberFormat="1" applyFont="1" applyFill="1" applyBorder="1" applyAlignment="1">
      <alignment horizontal="center" vertical="center" wrapText="1"/>
    </xf>
    <xf numFmtId="14" fontId="18" fillId="5" borderId="2" xfId="0" applyNumberFormat="1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center" vertical="center" wrapText="1"/>
    </xf>
    <xf numFmtId="0" fontId="22" fillId="3" borderId="2" xfId="0" applyFont="1" applyFill="1" applyBorder="1" applyAlignment="1">
      <alignment horizontal="center" vertical="center" wrapText="1"/>
    </xf>
    <xf numFmtId="0" fontId="24" fillId="3" borderId="2" xfId="0" applyFont="1" applyFill="1" applyBorder="1" applyAlignment="1">
      <alignment horizontal="center" vertical="center" wrapText="1"/>
    </xf>
    <xf numFmtId="0" fontId="25" fillId="3" borderId="2" xfId="0" applyFont="1" applyFill="1" applyBorder="1" applyAlignment="1">
      <alignment vertical="center"/>
    </xf>
    <xf numFmtId="0" fontId="26" fillId="3" borderId="2" xfId="0" applyFont="1" applyFill="1" applyBorder="1" applyAlignment="1">
      <alignment horizontal="center" vertical="center"/>
    </xf>
    <xf numFmtId="0" fontId="27" fillId="3" borderId="2" xfId="0" applyFont="1" applyFill="1" applyBorder="1" applyAlignment="1">
      <alignment horizontal="center" vertical="center"/>
    </xf>
    <xf numFmtId="0" fontId="28" fillId="3" borderId="2" xfId="0" applyFont="1" applyFill="1" applyBorder="1" applyAlignment="1">
      <alignment horizontal="center" vertical="center"/>
    </xf>
    <xf numFmtId="4" fontId="29" fillId="3" borderId="2" xfId="0" applyNumberFormat="1" applyFont="1" applyFill="1" applyBorder="1" applyAlignment="1">
      <alignment horizontal="center" vertical="center"/>
    </xf>
    <xf numFmtId="165" fontId="28" fillId="3" borderId="2" xfId="0" applyNumberFormat="1" applyFont="1" applyFill="1" applyBorder="1" applyAlignment="1">
      <alignment horizontal="center" vertical="center"/>
    </xf>
    <xf numFmtId="4" fontId="26" fillId="3" borderId="2" xfId="0" applyNumberFormat="1" applyFont="1" applyFill="1" applyBorder="1" applyAlignment="1">
      <alignment horizontal="center" vertical="center"/>
    </xf>
    <xf numFmtId="166" fontId="28" fillId="3" borderId="2" xfId="0" applyNumberFormat="1" applyFont="1" applyFill="1" applyBorder="1" applyAlignment="1">
      <alignment horizontal="center" vertical="center"/>
    </xf>
    <xf numFmtId="2" fontId="27" fillId="3" borderId="2" xfId="0" applyNumberFormat="1" applyFont="1" applyFill="1" applyBorder="1" applyAlignment="1">
      <alignment horizontal="center" vertical="center"/>
    </xf>
    <xf numFmtId="14" fontId="17" fillId="5" borderId="2" xfId="0" applyNumberFormat="1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 vertical="center" wrapText="1"/>
    </xf>
    <xf numFmtId="4" fontId="11" fillId="3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4" fontId="30" fillId="0" borderId="5" xfId="0" applyNumberFormat="1" applyFont="1" applyFill="1" applyBorder="1" applyAlignment="1">
      <alignment horizontal="center" vertical="center" wrapText="1"/>
    </xf>
    <xf numFmtId="4" fontId="30" fillId="0" borderId="2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4" fontId="11" fillId="3" borderId="5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4" fontId="9" fillId="0" borderId="2" xfId="0" applyNumberFormat="1" applyFont="1" applyFill="1" applyBorder="1" applyAlignment="1">
      <alignment horizontal="center" vertical="center"/>
    </xf>
    <xf numFmtId="165" fontId="9" fillId="0" borderId="2" xfId="0" applyNumberFormat="1" applyFont="1" applyFill="1" applyBorder="1" applyAlignment="1">
      <alignment horizontal="center" vertical="center"/>
    </xf>
    <xf numFmtId="4" fontId="31" fillId="0" borderId="2" xfId="0" applyNumberFormat="1" applyFont="1" applyFill="1" applyBorder="1" applyAlignment="1">
      <alignment horizontal="center" vertical="center"/>
    </xf>
    <xf numFmtId="0" fontId="32" fillId="3" borderId="2" xfId="0" applyFont="1" applyFill="1" applyBorder="1" applyAlignment="1">
      <alignment vertical="center"/>
    </xf>
    <xf numFmtId="4" fontId="14" fillId="0" borderId="2" xfId="0" applyNumberFormat="1" applyFont="1" applyFill="1" applyBorder="1" applyAlignment="1">
      <alignment horizontal="center" vertical="center"/>
    </xf>
    <xf numFmtId="4" fontId="1" fillId="5" borderId="5" xfId="0" applyNumberFormat="1" applyFont="1" applyFill="1" applyBorder="1" applyAlignment="1">
      <alignment horizontal="center" vertical="center" wrapText="1"/>
    </xf>
    <xf numFmtId="4" fontId="1" fillId="5" borderId="2" xfId="0" applyNumberFormat="1" applyFont="1" applyFill="1" applyBorder="1" applyAlignment="1">
      <alignment horizontal="center" vertical="center" wrapText="1"/>
    </xf>
    <xf numFmtId="164" fontId="1" fillId="5" borderId="2" xfId="0" applyNumberFormat="1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/>
    </xf>
    <xf numFmtId="0" fontId="18" fillId="5" borderId="2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Плохой" xfId="1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3%20(02.04.2021).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01.01.2016"/>
      <sheetName val="ОБЩИЙ"/>
      <sheetName val="ШКОЛЫ"/>
      <sheetName val="САДЫ "/>
      <sheetName val="ДОП ДДТ"/>
    </sheetNames>
    <sheetDataSet>
      <sheetData sheetId="0"/>
      <sheetData sheetId="1"/>
      <sheetData sheetId="2"/>
      <sheetData sheetId="3"/>
      <sheetData sheetId="4">
        <row r="11">
          <cell r="I11">
            <v>220.83825601851854</v>
          </cell>
        </row>
        <row r="12">
          <cell r="I12">
            <v>228.6278497706422</v>
          </cell>
        </row>
        <row r="13">
          <cell r="I13">
            <v>264.71476805555557</v>
          </cell>
        </row>
        <row r="14">
          <cell r="I14">
            <v>237.26809885620918</v>
          </cell>
        </row>
        <row r="15">
          <cell r="I15">
            <v>211.92114117586596</v>
          </cell>
        </row>
        <row r="16">
          <cell r="I16">
            <v>218.80262944983818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249"/>
  <sheetViews>
    <sheetView tabSelected="1" topLeftCell="A3" zoomScale="80" zoomScaleNormal="80" workbookViewId="0">
      <pane xSplit="1" ySplit="6" topLeftCell="B9" activePane="bottomRight" state="frozen"/>
      <selection activeCell="A3" sqref="A3"/>
      <selection pane="topRight" activeCell="B3" sqref="B3"/>
      <selection pane="bottomLeft" activeCell="A9" sqref="A9"/>
      <selection pane="bottomRight" activeCell="Y3" sqref="Y1:AM1048576"/>
    </sheetView>
  </sheetViews>
  <sheetFormatPr defaultColWidth="9.109375" defaultRowHeight="13.2"/>
  <cols>
    <col min="1" max="1" width="46.33203125" style="7" customWidth="1"/>
    <col min="2" max="2" width="34.88671875" style="7" customWidth="1"/>
    <col min="3" max="3" width="5.44140625" style="7" customWidth="1"/>
    <col min="4" max="4" width="11.33203125" style="7" customWidth="1"/>
    <col min="5" max="5" width="15" style="7" customWidth="1"/>
    <col min="6" max="6" width="15.44140625" style="28" customWidth="1"/>
    <col min="7" max="7" width="17" style="28"/>
    <col min="8" max="8" width="15.88671875" style="23" customWidth="1"/>
    <col min="9" max="9" width="14.44140625" style="7" customWidth="1"/>
    <col min="10" max="10" width="14" style="23" customWidth="1"/>
    <col min="11" max="11" width="15" style="23" customWidth="1"/>
    <col min="12" max="12" width="6.5546875" style="7" hidden="1" customWidth="1"/>
    <col min="13" max="13" width="6.5546875" style="7" customWidth="1"/>
    <col min="14" max="14" width="26.6640625" style="7" hidden="1" customWidth="1"/>
    <col min="15" max="15" width="7.6640625" style="7" hidden="1" customWidth="1"/>
    <col min="16" max="16" width="7.5546875" style="7" hidden="1" customWidth="1"/>
    <col min="17" max="18" width="0" style="7" hidden="1" customWidth="1"/>
    <col min="19" max="19" width="5.88671875" style="7" hidden="1" customWidth="1"/>
    <col min="20" max="23" width="0" style="7" hidden="1" customWidth="1"/>
    <col min="24" max="24" width="9.6640625" style="7" bestFit="1" customWidth="1"/>
    <col min="25" max="25" width="10.88671875" style="7" hidden="1" customWidth="1"/>
    <col min="26" max="26" width="10.44140625" style="7" hidden="1" customWidth="1"/>
    <col min="27" max="28" width="0" style="7" hidden="1" customWidth="1"/>
    <col min="29" max="29" width="8.21875" style="7" hidden="1" customWidth="1"/>
    <col min="30" max="30" width="8" style="7" hidden="1" customWidth="1"/>
    <col min="31" max="31" width="0" style="7" hidden="1" customWidth="1"/>
    <col min="32" max="32" width="8.21875" style="7" hidden="1" customWidth="1"/>
    <col min="33" max="33" width="8.44140625" style="7" hidden="1" customWidth="1"/>
    <col min="34" max="34" width="9.77734375" style="7" hidden="1" customWidth="1"/>
    <col min="35" max="35" width="9.109375" style="7" hidden="1" customWidth="1"/>
    <col min="36" max="36" width="10.33203125" style="7" hidden="1" customWidth="1"/>
    <col min="37" max="37" width="9.5546875" style="7" hidden="1" customWidth="1"/>
    <col min="38" max="38" width="0" style="7" hidden="1" customWidth="1"/>
    <col min="39" max="39" width="11.21875" style="7" hidden="1" customWidth="1"/>
    <col min="40" max="16384" width="9.109375" style="7"/>
  </cols>
  <sheetData>
    <row r="1" spans="1:39" ht="13.8" hidden="1">
      <c r="J1" s="26" t="s">
        <v>78</v>
      </c>
      <c r="K1" s="26"/>
    </row>
    <row r="2" spans="1:39" ht="13.8" hidden="1">
      <c r="J2" s="26" t="s">
        <v>79</v>
      </c>
      <c r="K2" s="26"/>
    </row>
    <row r="3" spans="1:39" ht="13.8">
      <c r="A3" s="2"/>
      <c r="B3" s="1"/>
      <c r="C3" s="1"/>
      <c r="D3" s="1"/>
      <c r="E3" s="1"/>
      <c r="F3" s="1"/>
      <c r="G3" s="1"/>
      <c r="H3" s="1"/>
      <c r="I3" s="1"/>
      <c r="J3" s="54" t="s">
        <v>63</v>
      </c>
      <c r="K3" s="54"/>
    </row>
    <row r="4" spans="1:39" ht="13.8">
      <c r="A4" s="2"/>
      <c r="B4" s="1"/>
      <c r="C4" s="1"/>
      <c r="D4" s="1"/>
      <c r="E4" s="1"/>
      <c r="F4" s="1"/>
      <c r="G4" s="1"/>
      <c r="H4" s="1"/>
      <c r="I4" s="1"/>
      <c r="J4" s="54" t="s">
        <v>149</v>
      </c>
      <c r="K4" s="54"/>
    </row>
    <row r="5" spans="1:39" ht="18">
      <c r="A5" s="82" t="s">
        <v>2</v>
      </c>
      <c r="B5" s="82"/>
      <c r="C5" s="82"/>
      <c r="D5" s="82"/>
      <c r="E5" s="82"/>
      <c r="F5" s="82"/>
      <c r="G5" s="82"/>
      <c r="H5" s="82"/>
      <c r="I5" s="82"/>
      <c r="J5" s="82"/>
      <c r="K5" s="82"/>
    </row>
    <row r="6" spans="1:39" ht="15.6">
      <c r="A6" s="3" t="s">
        <v>28</v>
      </c>
      <c r="B6" s="1"/>
      <c r="C6" s="1"/>
      <c r="D6" s="1"/>
      <c r="E6" s="1"/>
      <c r="F6" s="1"/>
      <c r="G6" s="1"/>
      <c r="H6" s="1"/>
      <c r="I6" s="1"/>
      <c r="J6" s="1"/>
      <c r="K6" s="55"/>
    </row>
    <row r="7" spans="1:39" ht="115.2" customHeight="1">
      <c r="A7" s="17" t="s">
        <v>3</v>
      </c>
      <c r="B7" s="14" t="s">
        <v>25</v>
      </c>
      <c r="C7" s="16"/>
      <c r="D7" s="14" t="s">
        <v>16</v>
      </c>
      <c r="E7" s="14" t="s">
        <v>4</v>
      </c>
      <c r="F7" s="17" t="s">
        <v>5</v>
      </c>
      <c r="G7" s="17" t="s">
        <v>0</v>
      </c>
      <c r="H7" s="24" t="s">
        <v>32</v>
      </c>
      <c r="I7" s="17" t="s">
        <v>6</v>
      </c>
      <c r="J7" s="24" t="s">
        <v>7</v>
      </c>
      <c r="K7" s="24" t="s">
        <v>1</v>
      </c>
    </row>
    <row r="8" spans="1:39" ht="19.95" customHeight="1">
      <c r="A8" s="81" t="s">
        <v>8</v>
      </c>
      <c r="B8" s="81"/>
      <c r="C8" s="81"/>
      <c r="D8" s="81"/>
      <c r="E8" s="56" t="s">
        <v>9</v>
      </c>
      <c r="F8" s="57" t="s">
        <v>9</v>
      </c>
      <c r="G8" s="57" t="s">
        <v>9</v>
      </c>
      <c r="H8" s="57" t="s">
        <v>9</v>
      </c>
      <c r="I8" s="69" t="s">
        <v>9</v>
      </c>
      <c r="J8" s="57" t="s">
        <v>9</v>
      </c>
      <c r="K8" s="57" t="s">
        <v>9</v>
      </c>
    </row>
    <row r="9" spans="1:39" ht="58.95" customHeight="1">
      <c r="A9" s="76" t="s">
        <v>77</v>
      </c>
      <c r="B9" s="13" t="s">
        <v>10</v>
      </c>
      <c r="C9" s="79" t="s">
        <v>91</v>
      </c>
      <c r="D9" s="17" t="s">
        <v>14</v>
      </c>
      <c r="E9" s="46"/>
      <c r="F9" s="47"/>
      <c r="G9" s="47"/>
      <c r="H9" s="47"/>
      <c r="I9" s="46"/>
      <c r="J9" s="47"/>
      <c r="K9" s="47"/>
      <c r="Y9" s="104">
        <v>270.04000000000002</v>
      </c>
      <c r="Z9" s="105">
        <v>218.16</v>
      </c>
      <c r="AA9" s="106">
        <v>11.109</v>
      </c>
      <c r="AB9" s="105">
        <v>5.7160000000000002</v>
      </c>
      <c r="AC9" s="105">
        <v>4.0739999999999998</v>
      </c>
      <c r="AD9" s="106">
        <v>0.45800000000000002</v>
      </c>
      <c r="AE9" s="106">
        <v>24.11</v>
      </c>
      <c r="AF9" s="106">
        <v>6.4139999999999997</v>
      </c>
      <c r="AG9" s="106">
        <f t="shared" ref="AG9" si="0">AA9+AD9+AE9+AF9</f>
        <v>42.091000000000001</v>
      </c>
      <c r="AH9" s="105">
        <v>271.22000000000003</v>
      </c>
      <c r="AI9" s="107">
        <f>AH9-AB9-AC9-AG9</f>
        <v>219.339</v>
      </c>
      <c r="AJ9" s="108">
        <f>AI9-218.16</f>
        <v>1.179000000000002</v>
      </c>
      <c r="AK9" s="109">
        <f>T9-AB9-AC9-AG9</f>
        <v>-51.881</v>
      </c>
      <c r="AL9" s="110">
        <f>AK9-AI9</f>
        <v>-271.22000000000003</v>
      </c>
      <c r="AM9" s="111">
        <v>291.53656671968002</v>
      </c>
    </row>
    <row r="10" spans="1:39" ht="13.8">
      <c r="A10" s="77"/>
      <c r="B10" s="13" t="s">
        <v>92</v>
      </c>
      <c r="C10" s="92"/>
      <c r="D10" s="17"/>
      <c r="E10" s="46"/>
      <c r="F10" s="47"/>
      <c r="G10" s="47"/>
      <c r="H10" s="47"/>
      <c r="I10" s="46"/>
      <c r="J10" s="47"/>
      <c r="K10" s="47"/>
    </row>
    <row r="11" spans="1:39" ht="13.8">
      <c r="A11" s="77"/>
      <c r="B11" s="13" t="s">
        <v>11</v>
      </c>
      <c r="C11" s="92"/>
      <c r="D11" s="17" t="s">
        <v>14</v>
      </c>
      <c r="E11" s="15">
        <f>F11+G11+H11</f>
        <v>104970.64</v>
      </c>
      <c r="F11" s="60">
        <v>45831</v>
      </c>
      <c r="G11" s="39">
        <v>12142.68</v>
      </c>
      <c r="H11" s="39">
        <v>46996.959999999999</v>
      </c>
      <c r="I11" s="58">
        <f>F11-1159.4</f>
        <v>44671.6</v>
      </c>
      <c r="J11" s="39">
        <f>6576.49</f>
        <v>6576.49</v>
      </c>
      <c r="K11" s="39">
        <v>1995.15</v>
      </c>
      <c r="L11" s="8"/>
      <c r="M11" s="8"/>
      <c r="N11" s="8"/>
      <c r="O11" s="7">
        <v>20321.599999999999</v>
      </c>
      <c r="P11" s="7">
        <v>10880.37</v>
      </c>
      <c r="Q11" s="7">
        <v>1895.62</v>
      </c>
    </row>
    <row r="12" spans="1:39" ht="13.8">
      <c r="A12" s="77"/>
      <c r="B12" s="13" t="s">
        <v>12</v>
      </c>
      <c r="C12" s="92"/>
      <c r="D12" s="17" t="s">
        <v>14</v>
      </c>
      <c r="E12" s="15">
        <f t="shared" ref="E12:E18" si="1">F12+G12+H12</f>
        <v>132343.60999999999</v>
      </c>
      <c r="F12" s="60">
        <v>52486.09</v>
      </c>
      <c r="G12" s="39">
        <v>12142.68</v>
      </c>
      <c r="H12" s="39">
        <v>67714.84</v>
      </c>
      <c r="I12" s="58">
        <f t="shared" ref="I12:I18" si="2">F12-1159.4</f>
        <v>51326.689999999995</v>
      </c>
      <c r="J12" s="39">
        <v>9821.7000000000007</v>
      </c>
      <c r="K12" s="39">
        <v>3547.8</v>
      </c>
    </row>
    <row r="13" spans="1:39" ht="13.8">
      <c r="A13" s="77"/>
      <c r="B13" s="13" t="s">
        <v>93</v>
      </c>
      <c r="C13" s="92"/>
      <c r="D13" s="17"/>
      <c r="E13" s="15"/>
      <c r="F13" s="39"/>
      <c r="G13" s="39"/>
      <c r="H13" s="39"/>
      <c r="I13" s="58"/>
      <c r="J13" s="39"/>
      <c r="K13" s="39"/>
    </row>
    <row r="14" spans="1:39" ht="13.8">
      <c r="A14" s="77"/>
      <c r="B14" s="13" t="s">
        <v>11</v>
      </c>
      <c r="C14" s="92"/>
      <c r="D14" s="17" t="s">
        <v>14</v>
      </c>
      <c r="E14" s="15">
        <f t="shared" si="1"/>
        <v>95463.15</v>
      </c>
      <c r="F14" s="60">
        <v>36323.51</v>
      </c>
      <c r="G14" s="39">
        <v>12142.68</v>
      </c>
      <c r="H14" s="39">
        <v>46996.959999999999</v>
      </c>
      <c r="I14" s="58">
        <f>F14-1159.4</f>
        <v>35164.11</v>
      </c>
      <c r="J14" s="39">
        <f t="shared" ref="J14:J17" si="3">6576.49</f>
        <v>6576.49</v>
      </c>
      <c r="K14" s="39">
        <v>1995.15</v>
      </c>
    </row>
    <row r="15" spans="1:39" ht="13.8">
      <c r="A15" s="77"/>
      <c r="B15" s="13" t="s">
        <v>12</v>
      </c>
      <c r="C15" s="92"/>
      <c r="D15" s="17" t="s">
        <v>14</v>
      </c>
      <c r="E15" s="15">
        <f t="shared" si="1"/>
        <v>121406.92</v>
      </c>
      <c r="F15" s="60">
        <v>41549.4</v>
      </c>
      <c r="G15" s="39">
        <v>12142.68</v>
      </c>
      <c r="H15" s="39">
        <v>67714.84</v>
      </c>
      <c r="I15" s="58">
        <f t="shared" si="2"/>
        <v>40390</v>
      </c>
      <c r="J15" s="39">
        <v>9821.7000000000007</v>
      </c>
      <c r="K15" s="39">
        <v>3547.8</v>
      </c>
    </row>
    <row r="16" spans="1:39" ht="13.8">
      <c r="A16" s="77"/>
      <c r="B16" s="13" t="s">
        <v>95</v>
      </c>
      <c r="C16" s="92"/>
      <c r="D16" s="17"/>
      <c r="E16" s="15"/>
      <c r="F16" s="60"/>
      <c r="G16" s="39"/>
      <c r="H16" s="39"/>
      <c r="I16" s="58"/>
      <c r="J16" s="39"/>
      <c r="K16" s="39"/>
    </row>
    <row r="17" spans="1:11" ht="13.8">
      <c r="A17" s="77"/>
      <c r="B17" s="13" t="s">
        <v>11</v>
      </c>
      <c r="C17" s="92"/>
      <c r="D17" s="17" t="s">
        <v>14</v>
      </c>
      <c r="E17" s="15">
        <f t="shared" si="1"/>
        <v>130627.25</v>
      </c>
      <c r="F17" s="60">
        <v>71487.61</v>
      </c>
      <c r="G17" s="39">
        <v>12142.68</v>
      </c>
      <c r="H17" s="39">
        <v>46996.959999999999</v>
      </c>
      <c r="I17" s="58">
        <f t="shared" si="2"/>
        <v>70328.210000000006</v>
      </c>
      <c r="J17" s="39">
        <f t="shared" si="3"/>
        <v>6576.49</v>
      </c>
      <c r="K17" s="39">
        <v>1995.15</v>
      </c>
    </row>
    <row r="18" spans="1:11" ht="13.8">
      <c r="A18" s="77"/>
      <c r="B18" s="13" t="s">
        <v>12</v>
      </c>
      <c r="C18" s="80"/>
      <c r="D18" s="17" t="s">
        <v>14</v>
      </c>
      <c r="E18" s="15">
        <f t="shared" si="1"/>
        <v>161796.88999999998</v>
      </c>
      <c r="F18" s="60">
        <v>81939.37</v>
      </c>
      <c r="G18" s="39">
        <v>12142.68</v>
      </c>
      <c r="H18" s="39">
        <v>67714.84</v>
      </c>
      <c r="I18" s="58">
        <f t="shared" si="2"/>
        <v>80779.97</v>
      </c>
      <c r="J18" s="39">
        <v>9821.7000000000007</v>
      </c>
      <c r="K18" s="39">
        <v>3547.8</v>
      </c>
    </row>
    <row r="19" spans="1:11" ht="90" customHeight="1">
      <c r="A19" s="77"/>
      <c r="B19" s="13" t="s">
        <v>96</v>
      </c>
      <c r="C19" s="79" t="s">
        <v>97</v>
      </c>
      <c r="D19" s="17" t="s">
        <v>14</v>
      </c>
      <c r="E19" s="44"/>
      <c r="F19" s="43"/>
      <c r="G19" s="43"/>
      <c r="H19" s="43"/>
      <c r="I19" s="44"/>
      <c r="J19" s="43"/>
      <c r="K19" s="43"/>
    </row>
    <row r="20" spans="1:11" ht="13.8">
      <c r="A20" s="77"/>
      <c r="B20" s="13" t="s">
        <v>93</v>
      </c>
      <c r="C20" s="92"/>
      <c r="D20" s="17"/>
      <c r="E20" s="44"/>
      <c r="F20" s="48"/>
      <c r="G20" s="43"/>
      <c r="H20" s="43"/>
      <c r="I20" s="70"/>
      <c r="J20" s="43"/>
      <c r="K20" s="43"/>
    </row>
    <row r="21" spans="1:11" ht="13.8">
      <c r="A21" s="77"/>
      <c r="B21" s="13" t="s">
        <v>11</v>
      </c>
      <c r="C21" s="92"/>
      <c r="D21" s="17" t="s">
        <v>14</v>
      </c>
      <c r="E21" s="15">
        <f t="shared" ref="E21:E23" si="4">F21+G21+H21</f>
        <v>210459.33</v>
      </c>
      <c r="F21" s="60">
        <v>151319.69</v>
      </c>
      <c r="G21" s="39">
        <v>12142.68</v>
      </c>
      <c r="H21" s="39">
        <v>46996.959999999999</v>
      </c>
      <c r="I21" s="58">
        <f>F21-1159.4</f>
        <v>150160.29</v>
      </c>
      <c r="J21" s="39">
        <v>6576.49</v>
      </c>
      <c r="K21" s="39">
        <v>1995.15</v>
      </c>
    </row>
    <row r="22" spans="1:11" ht="13.8">
      <c r="A22" s="77"/>
      <c r="B22" s="13" t="s">
        <v>100</v>
      </c>
      <c r="C22" s="92"/>
      <c r="D22" s="17"/>
      <c r="E22" s="15"/>
      <c r="F22" s="60"/>
      <c r="G22" s="39"/>
      <c r="H22" s="39"/>
      <c r="I22" s="58"/>
      <c r="J22" s="39"/>
      <c r="K22" s="39"/>
    </row>
    <row r="23" spans="1:11" ht="13.8">
      <c r="A23" s="77"/>
      <c r="B23" s="13" t="s">
        <v>11</v>
      </c>
      <c r="C23" s="80"/>
      <c r="D23" s="17" t="s">
        <v>14</v>
      </c>
      <c r="E23" s="15">
        <f t="shared" si="4"/>
        <v>303928.65999999997</v>
      </c>
      <c r="F23" s="60">
        <v>244789.02</v>
      </c>
      <c r="G23" s="39">
        <v>12142.68</v>
      </c>
      <c r="H23" s="39">
        <v>46996.959999999999</v>
      </c>
      <c r="I23" s="58">
        <f>F23-1159.4</f>
        <v>243629.62</v>
      </c>
      <c r="J23" s="39">
        <v>6576.49</v>
      </c>
      <c r="K23" s="39">
        <v>1995.15</v>
      </c>
    </row>
    <row r="24" spans="1:11" ht="77.400000000000006" customHeight="1">
      <c r="A24" s="77"/>
      <c r="B24" s="13" t="s">
        <v>102</v>
      </c>
      <c r="C24" s="79" t="s">
        <v>99</v>
      </c>
      <c r="D24" s="17" t="s">
        <v>14</v>
      </c>
      <c r="E24" s="44"/>
      <c r="F24" s="43"/>
      <c r="G24" s="43"/>
      <c r="H24" s="43"/>
      <c r="I24" s="44"/>
      <c r="J24" s="43"/>
      <c r="K24" s="43"/>
    </row>
    <row r="25" spans="1:11" ht="13.8">
      <c r="A25" s="77"/>
      <c r="B25" s="13" t="s">
        <v>98</v>
      </c>
      <c r="C25" s="92"/>
      <c r="D25" s="17"/>
      <c r="E25" s="44"/>
      <c r="F25" s="49"/>
      <c r="G25" s="43"/>
      <c r="H25" s="43"/>
      <c r="I25" s="70"/>
      <c r="J25" s="43"/>
      <c r="K25" s="43"/>
    </row>
    <row r="26" spans="1:11" ht="13.8">
      <c r="A26" s="77"/>
      <c r="B26" s="13" t="s">
        <v>11</v>
      </c>
      <c r="C26" s="92"/>
      <c r="D26" s="17" t="s">
        <v>14</v>
      </c>
      <c r="E26" s="15">
        <f t="shared" ref="E26:E27" si="5">F26+G26+H26</f>
        <v>128793.5</v>
      </c>
      <c r="F26" s="39">
        <v>69653.86</v>
      </c>
      <c r="G26" s="39">
        <v>12142.68</v>
      </c>
      <c r="H26" s="39">
        <v>46996.959999999999</v>
      </c>
      <c r="I26" s="58">
        <f>F26-1159.4</f>
        <v>68494.460000000006</v>
      </c>
      <c r="J26" s="39">
        <v>6576.49</v>
      </c>
      <c r="K26" s="39">
        <v>1995.15</v>
      </c>
    </row>
    <row r="27" spans="1:11" ht="13.8">
      <c r="A27" s="77"/>
      <c r="B27" s="13" t="s">
        <v>12</v>
      </c>
      <c r="C27" s="80"/>
      <c r="D27" s="17" t="s">
        <v>14</v>
      </c>
      <c r="E27" s="15">
        <f t="shared" si="5"/>
        <v>159740.47</v>
      </c>
      <c r="F27" s="60">
        <v>79882.95</v>
      </c>
      <c r="G27" s="39">
        <v>12142.68</v>
      </c>
      <c r="H27" s="39">
        <v>67714.84</v>
      </c>
      <c r="I27" s="15">
        <f>F27-1159.4</f>
        <v>78723.55</v>
      </c>
      <c r="J27" s="39">
        <v>9821.7000000000007</v>
      </c>
      <c r="K27" s="39">
        <v>3547.8</v>
      </c>
    </row>
    <row r="28" spans="1:11" ht="75.599999999999994" customHeight="1">
      <c r="A28" s="77"/>
      <c r="B28" s="13" t="s">
        <v>30</v>
      </c>
      <c r="C28" s="79" t="s">
        <v>101</v>
      </c>
      <c r="D28" s="17" t="s">
        <v>15</v>
      </c>
      <c r="E28" s="15"/>
      <c r="F28" s="39"/>
      <c r="G28" s="39"/>
      <c r="H28" s="39"/>
      <c r="I28" s="15"/>
      <c r="J28" s="39"/>
      <c r="K28" s="39"/>
    </row>
    <row r="29" spans="1:11" ht="15.75" customHeight="1">
      <c r="A29" s="77"/>
      <c r="B29" s="13" t="s">
        <v>95</v>
      </c>
      <c r="C29" s="92"/>
      <c r="D29" s="17" t="s">
        <v>15</v>
      </c>
      <c r="E29" s="15"/>
      <c r="F29" s="39"/>
      <c r="G29" s="39"/>
      <c r="H29" s="39"/>
      <c r="I29" s="15"/>
      <c r="J29" s="39"/>
      <c r="K29" s="39"/>
    </row>
    <row r="30" spans="1:11" ht="13.5" customHeight="1">
      <c r="A30" s="77"/>
      <c r="B30" s="13" t="s">
        <v>12</v>
      </c>
      <c r="C30" s="80"/>
      <c r="D30" s="17" t="s">
        <v>15</v>
      </c>
      <c r="E30" s="15">
        <f t="shared" ref="E30:E36" si="6">F30+G30+H30</f>
        <v>885782.28</v>
      </c>
      <c r="F30" s="39">
        <v>805924.76</v>
      </c>
      <c r="G30" s="39">
        <v>12142.68</v>
      </c>
      <c r="H30" s="39">
        <v>67714.84</v>
      </c>
      <c r="I30" s="15">
        <f>F30-1159.4</f>
        <v>804765.36</v>
      </c>
      <c r="J30" s="39">
        <v>9821.7000000000007</v>
      </c>
      <c r="K30" s="39">
        <v>3547.8</v>
      </c>
    </row>
    <row r="31" spans="1:11" ht="66" customHeight="1">
      <c r="A31" s="77"/>
      <c r="B31" s="13" t="s">
        <v>123</v>
      </c>
      <c r="C31" s="79" t="s">
        <v>122</v>
      </c>
      <c r="D31" s="17" t="s">
        <v>14</v>
      </c>
      <c r="E31" s="15"/>
      <c r="F31" s="39"/>
      <c r="G31" s="39"/>
      <c r="H31" s="39"/>
      <c r="I31" s="58"/>
      <c r="J31" s="39"/>
      <c r="K31" s="39"/>
    </row>
    <row r="32" spans="1:11" ht="13.5" customHeight="1">
      <c r="A32" s="77"/>
      <c r="B32" s="13" t="s">
        <v>121</v>
      </c>
      <c r="C32" s="92"/>
      <c r="D32" s="17"/>
      <c r="E32" s="15"/>
      <c r="F32" s="39"/>
      <c r="G32" s="39"/>
      <c r="H32" s="39"/>
      <c r="I32" s="58"/>
      <c r="J32" s="39"/>
      <c r="K32" s="39"/>
    </row>
    <row r="33" spans="1:23" ht="18.600000000000001" customHeight="1">
      <c r="A33" s="77"/>
      <c r="B33" s="13" t="s">
        <v>11</v>
      </c>
      <c r="C33" s="80"/>
      <c r="D33" s="17" t="s">
        <v>14</v>
      </c>
      <c r="E33" s="15">
        <f t="shared" si="6"/>
        <v>65777.16</v>
      </c>
      <c r="F33" s="39">
        <v>6637.52</v>
      </c>
      <c r="G33" s="39">
        <v>12142.68</v>
      </c>
      <c r="H33" s="39">
        <v>46996.959999999999</v>
      </c>
      <c r="I33" s="58">
        <f>F33-1159.4</f>
        <v>5478.1200000000008</v>
      </c>
      <c r="J33" s="39">
        <v>6576.49</v>
      </c>
      <c r="K33" s="39">
        <v>1995.15</v>
      </c>
    </row>
    <row r="34" spans="1:23" ht="69" customHeight="1">
      <c r="A34" s="77"/>
      <c r="B34" s="13" t="s">
        <v>31</v>
      </c>
      <c r="C34" s="79" t="s">
        <v>94</v>
      </c>
      <c r="D34" s="17" t="s">
        <v>14</v>
      </c>
      <c r="E34" s="15"/>
      <c r="F34" s="39"/>
      <c r="G34" s="39"/>
      <c r="H34" s="39"/>
      <c r="I34" s="15"/>
      <c r="J34" s="39"/>
      <c r="K34" s="39"/>
    </row>
    <row r="35" spans="1:23" ht="13.8">
      <c r="A35" s="77"/>
      <c r="B35" s="13" t="s">
        <v>60</v>
      </c>
      <c r="C35" s="80"/>
      <c r="D35" s="17"/>
      <c r="E35" s="15"/>
      <c r="F35" s="39"/>
      <c r="G35" s="39" t="s">
        <v>23</v>
      </c>
      <c r="H35" s="39"/>
      <c r="I35" s="58"/>
      <c r="J35" s="39" t="s">
        <v>23</v>
      </c>
      <c r="K35" s="39" t="s">
        <v>23</v>
      </c>
    </row>
    <row r="36" spans="1:23" ht="13.8">
      <c r="A36" s="77"/>
      <c r="B36" s="13" t="s">
        <v>11</v>
      </c>
      <c r="C36" s="37"/>
      <c r="D36" s="17" t="s">
        <v>14</v>
      </c>
      <c r="E36" s="15">
        <f t="shared" si="6"/>
        <v>61353.509999999995</v>
      </c>
      <c r="F36" s="39">
        <v>2213.87</v>
      </c>
      <c r="G36" s="39">
        <v>12142.68</v>
      </c>
      <c r="H36" s="39">
        <v>46996.959999999999</v>
      </c>
      <c r="I36" s="58">
        <f>F36-1159.4</f>
        <v>1054.4699999999998</v>
      </c>
      <c r="J36" s="39">
        <v>6576.49</v>
      </c>
      <c r="K36" s="39">
        <v>1995.15</v>
      </c>
    </row>
    <row r="37" spans="1:23" ht="55.2">
      <c r="A37" s="77"/>
      <c r="B37" s="13" t="s">
        <v>31</v>
      </c>
      <c r="C37" s="79" t="s">
        <v>103</v>
      </c>
      <c r="D37" s="17" t="s">
        <v>14</v>
      </c>
      <c r="E37" s="15"/>
      <c r="F37" s="39"/>
      <c r="G37" s="39" t="s">
        <v>23</v>
      </c>
      <c r="H37" s="39"/>
      <c r="I37" s="15"/>
      <c r="J37" s="39" t="s">
        <v>23</v>
      </c>
      <c r="K37" s="39" t="s">
        <v>23</v>
      </c>
    </row>
    <row r="38" spans="1:23" ht="13.8">
      <c r="A38" s="77"/>
      <c r="B38" s="13" t="s">
        <v>60</v>
      </c>
      <c r="C38" s="92"/>
      <c r="D38" s="17"/>
      <c r="E38" s="15"/>
      <c r="F38" s="39"/>
      <c r="G38" s="39"/>
      <c r="H38" s="39"/>
      <c r="I38" s="71"/>
      <c r="J38" s="39"/>
      <c r="K38" s="39" t="s">
        <v>23</v>
      </c>
    </row>
    <row r="39" spans="1:23" ht="13.8">
      <c r="A39" s="77"/>
      <c r="B39" s="13" t="s">
        <v>11</v>
      </c>
      <c r="C39" s="92"/>
      <c r="D39" s="17" t="s">
        <v>14</v>
      </c>
      <c r="E39" s="15">
        <f>F39+G39+H39</f>
        <v>60800.04</v>
      </c>
      <c r="F39" s="39">
        <v>1660.4</v>
      </c>
      <c r="G39" s="39">
        <v>12142.68</v>
      </c>
      <c r="H39" s="39">
        <v>46996.959999999999</v>
      </c>
      <c r="I39" s="58">
        <f>F39-1159.4</f>
        <v>501</v>
      </c>
      <c r="J39" s="39">
        <v>6576.49</v>
      </c>
      <c r="K39" s="39">
        <v>1995.15</v>
      </c>
    </row>
    <row r="40" spans="1:23" ht="13.8">
      <c r="A40" s="77"/>
      <c r="B40" s="13" t="s">
        <v>121</v>
      </c>
      <c r="C40" s="92"/>
      <c r="D40" s="17"/>
      <c r="E40" s="15"/>
      <c r="F40" s="39"/>
      <c r="G40" s="39"/>
      <c r="H40" s="39"/>
      <c r="I40" s="58"/>
      <c r="J40" s="39"/>
      <c r="K40" s="39"/>
    </row>
    <row r="41" spans="1:23" ht="18.600000000000001" customHeight="1">
      <c r="A41" s="78"/>
      <c r="B41" s="13" t="s">
        <v>11</v>
      </c>
      <c r="C41" s="80"/>
      <c r="D41" s="17" t="s">
        <v>14</v>
      </c>
      <c r="E41" s="15">
        <f>F41+G41+H41</f>
        <v>62460.46</v>
      </c>
      <c r="F41" s="39">
        <v>3320.82</v>
      </c>
      <c r="G41" s="39">
        <v>12142.68</v>
      </c>
      <c r="H41" s="39">
        <v>46996.959999999999</v>
      </c>
      <c r="I41" s="58">
        <f>F41-1159.4</f>
        <v>2161.42</v>
      </c>
      <c r="J41" s="39">
        <v>6576.49</v>
      </c>
      <c r="K41" s="39">
        <v>1995.15</v>
      </c>
    </row>
    <row r="42" spans="1:23" ht="60" customHeight="1">
      <c r="A42" s="13" t="s">
        <v>72</v>
      </c>
      <c r="B42" s="13"/>
      <c r="C42" s="13"/>
      <c r="D42" s="17" t="s">
        <v>14</v>
      </c>
      <c r="E42" s="15">
        <f>H42</f>
        <v>38190</v>
      </c>
      <c r="F42" s="39" t="s">
        <v>13</v>
      </c>
      <c r="G42" s="39" t="s">
        <v>13</v>
      </c>
      <c r="H42" s="39">
        <v>38190</v>
      </c>
      <c r="I42" s="15" t="s">
        <v>13</v>
      </c>
      <c r="J42" s="39">
        <v>0</v>
      </c>
      <c r="K42" s="39" t="s">
        <v>13</v>
      </c>
      <c r="O42" s="29">
        <f>12750.1+9670.65</f>
        <v>22420.75</v>
      </c>
    </row>
    <row r="43" spans="1:23" ht="32.4" customHeight="1">
      <c r="A43" s="83" t="s">
        <v>73</v>
      </c>
      <c r="B43" s="89" t="s">
        <v>17</v>
      </c>
      <c r="C43" s="34"/>
      <c r="D43" s="4" t="s">
        <v>18</v>
      </c>
      <c r="E43" s="11">
        <f>SUM(F43:H43)</f>
        <v>42926.31</v>
      </c>
      <c r="F43" s="15">
        <f>23258.45+1351.63</f>
        <v>24610.080000000002</v>
      </c>
      <c r="G43" s="11">
        <f>4001.99</f>
        <v>4001.99</v>
      </c>
      <c r="H43" s="60">
        <v>14314.24</v>
      </c>
      <c r="I43" s="15">
        <f>23258.45-1577.47</f>
        <v>21680.98</v>
      </c>
      <c r="J43" s="61">
        <v>2543.9299999999998</v>
      </c>
      <c r="K43" s="61">
        <v>146.1</v>
      </c>
      <c r="L43" s="62" t="s">
        <v>81</v>
      </c>
      <c r="M43" s="62"/>
      <c r="N43" s="67" t="s">
        <v>147</v>
      </c>
      <c r="O43" s="7">
        <v>7790.73</v>
      </c>
      <c r="P43" s="7">
        <v>2567.5</v>
      </c>
      <c r="Q43" s="7">
        <v>247.23</v>
      </c>
    </row>
    <row r="44" spans="1:23" ht="32.4" customHeight="1">
      <c r="A44" s="84"/>
      <c r="B44" s="90"/>
      <c r="C44" s="35"/>
      <c r="D44" s="4" t="s">
        <v>18</v>
      </c>
      <c r="E44" s="11">
        <f>SUM(F44:H44)</f>
        <v>42926.31</v>
      </c>
      <c r="F44" s="15">
        <f>23258.45+1351.63</f>
        <v>24610.080000000002</v>
      </c>
      <c r="G44" s="11">
        <f>4001.99</f>
        <v>4001.99</v>
      </c>
      <c r="H44" s="60">
        <v>14314.24</v>
      </c>
      <c r="I44" s="15">
        <f>23258.45-1577.47</f>
        <v>21680.98</v>
      </c>
      <c r="J44" s="61">
        <v>2543.9299999999998</v>
      </c>
      <c r="K44" s="61">
        <v>146.1</v>
      </c>
      <c r="L44" s="62" t="s">
        <v>82</v>
      </c>
      <c r="M44" s="62"/>
      <c r="N44" s="62"/>
    </row>
    <row r="45" spans="1:23" ht="32.4" customHeight="1">
      <c r="A45" s="84"/>
      <c r="B45" s="90"/>
      <c r="C45" s="35"/>
      <c r="D45" s="4" t="s">
        <v>18</v>
      </c>
      <c r="E45" s="11">
        <f>SUM(F45:H45)</f>
        <v>42926.31</v>
      </c>
      <c r="F45" s="15">
        <f>23258.45+1351.63</f>
        <v>24610.080000000002</v>
      </c>
      <c r="G45" s="11">
        <f>4001.99</f>
        <v>4001.99</v>
      </c>
      <c r="H45" s="60">
        <v>14314.24</v>
      </c>
      <c r="I45" s="15">
        <f>23258.45-1577.47</f>
        <v>21680.98</v>
      </c>
      <c r="J45" s="61">
        <v>2543.9299999999998</v>
      </c>
      <c r="K45" s="61">
        <v>146.1</v>
      </c>
      <c r="L45" s="62" t="s">
        <v>83</v>
      </c>
      <c r="M45" s="62"/>
      <c r="N45" s="62"/>
    </row>
    <row r="46" spans="1:23" ht="32.4" customHeight="1">
      <c r="A46" s="84"/>
      <c r="B46" s="90"/>
      <c r="C46" s="35"/>
      <c r="D46" s="4" t="s">
        <v>18</v>
      </c>
      <c r="E46" s="11">
        <f>SUM(F46:H46)</f>
        <v>42926.31</v>
      </c>
      <c r="F46" s="15">
        <f>23258.45+1351.63</f>
        <v>24610.080000000002</v>
      </c>
      <c r="G46" s="11">
        <f>4001.99</f>
        <v>4001.99</v>
      </c>
      <c r="H46" s="60">
        <v>14314.24</v>
      </c>
      <c r="I46" s="15">
        <f>23258.45-1577.47</f>
        <v>21680.98</v>
      </c>
      <c r="J46" s="61">
        <v>2543.9299999999998</v>
      </c>
      <c r="K46" s="61">
        <v>146.1</v>
      </c>
      <c r="L46" s="62" t="s">
        <v>84</v>
      </c>
      <c r="M46" s="62"/>
      <c r="N46" s="62"/>
    </row>
    <row r="47" spans="1:23" ht="32.4" customHeight="1">
      <c r="A47" s="84"/>
      <c r="B47" s="91"/>
      <c r="C47" s="36"/>
      <c r="D47" s="4" t="s">
        <v>18</v>
      </c>
      <c r="E47" s="11">
        <f>SUM(F47:H47)</f>
        <v>42926.31</v>
      </c>
      <c r="F47" s="15">
        <f>23258.45+1351.63</f>
        <v>24610.080000000002</v>
      </c>
      <c r="G47" s="11">
        <f>4001.99</f>
        <v>4001.99</v>
      </c>
      <c r="H47" s="60">
        <v>14314.24</v>
      </c>
      <c r="I47" s="15">
        <f>23258.45-1577.47</f>
        <v>21680.98</v>
      </c>
      <c r="J47" s="61">
        <v>2543.9299999999998</v>
      </c>
      <c r="K47" s="61">
        <v>146.1</v>
      </c>
      <c r="L47" s="62" t="s">
        <v>85</v>
      </c>
      <c r="M47" s="62"/>
      <c r="N47" s="62"/>
    </row>
    <row r="48" spans="1:23" ht="125.4" customHeight="1">
      <c r="A48" s="84"/>
      <c r="B48" s="12" t="s">
        <v>19</v>
      </c>
      <c r="C48" s="12"/>
      <c r="D48" s="4" t="s">
        <v>20</v>
      </c>
      <c r="E48" s="15" t="s">
        <v>137</v>
      </c>
      <c r="F48" s="11" t="s">
        <v>106</v>
      </c>
      <c r="G48" s="11" t="s">
        <v>105</v>
      </c>
      <c r="H48" s="39" t="s">
        <v>134</v>
      </c>
      <c r="I48" s="15" t="s">
        <v>107</v>
      </c>
      <c r="J48" s="39" t="s">
        <v>135</v>
      </c>
      <c r="K48" s="39" t="s">
        <v>136</v>
      </c>
      <c r="L48" s="62" t="s">
        <v>86</v>
      </c>
      <c r="M48" s="62"/>
      <c r="N48" s="62"/>
      <c r="O48" s="28">
        <v>1351.63</v>
      </c>
      <c r="P48" s="28">
        <v>4001.99</v>
      </c>
      <c r="Q48" s="7">
        <v>20869.5</v>
      </c>
      <c r="R48" s="40">
        <f>O48+P48+Q48</f>
        <v>26223.119999999999</v>
      </c>
      <c r="T48" s="7">
        <f>4001.99*2.411294</f>
        <v>9649.9744750599984</v>
      </c>
      <c r="U48" s="7">
        <v>1329.32</v>
      </c>
      <c r="V48" s="7">
        <v>11462.74</v>
      </c>
      <c r="W48" s="9">
        <f>T48+U48+V48</f>
        <v>22442.034475059998</v>
      </c>
    </row>
    <row r="49" spans="1:19" ht="136.19999999999999" customHeight="1">
      <c r="A49" s="84"/>
      <c r="B49" s="12" t="s">
        <v>21</v>
      </c>
      <c r="C49" s="12"/>
      <c r="D49" s="4" t="s">
        <v>20</v>
      </c>
      <c r="E49" s="39" t="s">
        <v>138</v>
      </c>
      <c r="F49" s="11" t="s">
        <v>108</v>
      </c>
      <c r="G49" s="11" t="s">
        <v>104</v>
      </c>
      <c r="H49" s="39" t="s">
        <v>134</v>
      </c>
      <c r="I49" s="15" t="s">
        <v>109</v>
      </c>
      <c r="J49" s="39" t="s">
        <v>135</v>
      </c>
      <c r="K49" s="39" t="s">
        <v>136</v>
      </c>
      <c r="S49" s="41"/>
    </row>
    <row r="50" spans="1:19" ht="16.2" customHeight="1">
      <c r="A50" s="84"/>
      <c r="B50" s="5" t="s">
        <v>33</v>
      </c>
      <c r="C50" s="5"/>
      <c r="D50" s="6" t="s">
        <v>18</v>
      </c>
      <c r="E50" s="51" t="s">
        <v>23</v>
      </c>
      <c r="F50" s="51" t="s">
        <v>23</v>
      </c>
      <c r="G50" s="51" t="s">
        <v>23</v>
      </c>
      <c r="H50" s="52" t="s">
        <v>23</v>
      </c>
      <c r="I50" s="51" t="s">
        <v>23</v>
      </c>
      <c r="J50" s="52" t="s">
        <v>23</v>
      </c>
      <c r="K50" s="52" t="s">
        <v>23</v>
      </c>
      <c r="L50" s="22"/>
      <c r="M50" s="22"/>
      <c r="N50" s="22"/>
    </row>
    <row r="51" spans="1:19" ht="13.8">
      <c r="A51" s="84"/>
      <c r="B51" s="5" t="s">
        <v>44</v>
      </c>
      <c r="C51" s="5"/>
      <c r="D51" s="6" t="s">
        <v>18</v>
      </c>
      <c r="E51" s="58">
        <f>F51</f>
        <v>69482.740000000005</v>
      </c>
      <c r="F51" s="58">
        <v>69482.740000000005</v>
      </c>
      <c r="G51" s="58" t="s">
        <v>23</v>
      </c>
      <c r="H51" s="59" t="s">
        <v>23</v>
      </c>
      <c r="I51" s="58">
        <f>F51-1386.66</f>
        <v>68096.08</v>
      </c>
      <c r="J51" s="59" t="s">
        <v>23</v>
      </c>
      <c r="K51" s="59" t="s">
        <v>23</v>
      </c>
    </row>
    <row r="52" spans="1:19" ht="13.8">
      <c r="A52" s="84"/>
      <c r="B52" s="5" t="s">
        <v>45</v>
      </c>
      <c r="C52" s="5"/>
      <c r="D52" s="6" t="s">
        <v>18</v>
      </c>
      <c r="E52" s="58">
        <f t="shared" ref="E52:E70" si="7">F52</f>
        <v>83951.08</v>
      </c>
      <c r="F52" s="58">
        <v>83951.08</v>
      </c>
      <c r="G52" s="58" t="s">
        <v>23</v>
      </c>
      <c r="H52" s="59" t="s">
        <v>23</v>
      </c>
      <c r="I52" s="58">
        <f t="shared" ref="I52:I70" si="8">F52-1386.66</f>
        <v>82564.42</v>
      </c>
      <c r="J52" s="59" t="s">
        <v>23</v>
      </c>
      <c r="K52" s="59" t="s">
        <v>23</v>
      </c>
    </row>
    <row r="53" spans="1:19" ht="13.8">
      <c r="A53" s="84"/>
      <c r="B53" s="5" t="s">
        <v>46</v>
      </c>
      <c r="C53" s="5"/>
      <c r="D53" s="6" t="s">
        <v>18</v>
      </c>
      <c r="E53" s="58">
        <f t="shared" si="7"/>
        <v>25714.959999999999</v>
      </c>
      <c r="F53" s="58">
        <v>25714.959999999999</v>
      </c>
      <c r="G53" s="58" t="s">
        <v>23</v>
      </c>
      <c r="H53" s="59" t="s">
        <v>23</v>
      </c>
      <c r="I53" s="58">
        <f t="shared" si="8"/>
        <v>24328.3</v>
      </c>
      <c r="J53" s="59" t="s">
        <v>23</v>
      </c>
      <c r="K53" s="59" t="s">
        <v>23</v>
      </c>
    </row>
    <row r="54" spans="1:19" ht="13.8">
      <c r="A54" s="84"/>
      <c r="B54" s="5" t="s">
        <v>47</v>
      </c>
      <c r="C54" s="5"/>
      <c r="D54" s="6" t="s">
        <v>18</v>
      </c>
      <c r="E54" s="58">
        <f t="shared" si="7"/>
        <v>30937.81</v>
      </c>
      <c r="F54" s="58">
        <v>30937.81</v>
      </c>
      <c r="G54" s="58" t="s">
        <v>23</v>
      </c>
      <c r="H54" s="59" t="s">
        <v>23</v>
      </c>
      <c r="I54" s="58">
        <f t="shared" si="8"/>
        <v>29551.15</v>
      </c>
      <c r="J54" s="59" t="s">
        <v>23</v>
      </c>
      <c r="K54" s="59" t="s">
        <v>23</v>
      </c>
    </row>
    <row r="55" spans="1:19" ht="13.8">
      <c r="A55" s="84"/>
      <c r="B55" s="5" t="s">
        <v>52</v>
      </c>
      <c r="C55" s="5"/>
      <c r="D55" s="6" t="s">
        <v>18</v>
      </c>
      <c r="E55" s="58">
        <f t="shared" si="7"/>
        <v>69482.740000000005</v>
      </c>
      <c r="F55" s="58">
        <v>69482.740000000005</v>
      </c>
      <c r="G55" s="58" t="s">
        <v>23</v>
      </c>
      <c r="H55" s="59" t="s">
        <v>23</v>
      </c>
      <c r="I55" s="58">
        <f t="shared" si="8"/>
        <v>68096.08</v>
      </c>
      <c r="J55" s="59" t="s">
        <v>23</v>
      </c>
      <c r="K55" s="59" t="s">
        <v>23</v>
      </c>
    </row>
    <row r="56" spans="1:19" ht="13.8">
      <c r="A56" s="84"/>
      <c r="B56" s="5" t="s">
        <v>53</v>
      </c>
      <c r="C56" s="5"/>
      <c r="D56" s="6" t="s">
        <v>18</v>
      </c>
      <c r="E56" s="58">
        <f t="shared" si="7"/>
        <v>83951.08</v>
      </c>
      <c r="F56" s="58">
        <v>83951.08</v>
      </c>
      <c r="G56" s="58" t="s">
        <v>23</v>
      </c>
      <c r="H56" s="59" t="s">
        <v>23</v>
      </c>
      <c r="I56" s="58">
        <f t="shared" si="8"/>
        <v>82564.42</v>
      </c>
      <c r="J56" s="59" t="s">
        <v>23</v>
      </c>
      <c r="K56" s="59" t="s">
        <v>23</v>
      </c>
    </row>
    <row r="57" spans="1:19" ht="13.8">
      <c r="A57" s="84"/>
      <c r="B57" s="5" t="s">
        <v>37</v>
      </c>
      <c r="C57" s="5"/>
      <c r="D57" s="6" t="s">
        <v>18</v>
      </c>
      <c r="E57" s="58">
        <f t="shared" si="7"/>
        <v>92591.35</v>
      </c>
      <c r="F57" s="58">
        <v>92591.35</v>
      </c>
      <c r="G57" s="58" t="s">
        <v>23</v>
      </c>
      <c r="H57" s="59" t="s">
        <v>23</v>
      </c>
      <c r="I57" s="58">
        <f t="shared" si="8"/>
        <v>91204.69</v>
      </c>
      <c r="J57" s="59" t="s">
        <v>23</v>
      </c>
      <c r="K57" s="59" t="s">
        <v>23</v>
      </c>
    </row>
    <row r="58" spans="1:19" ht="13.8">
      <c r="A58" s="84"/>
      <c r="B58" s="5" t="s">
        <v>38</v>
      </c>
      <c r="C58" s="5"/>
      <c r="D58" s="6" t="s">
        <v>18</v>
      </c>
      <c r="E58" s="58">
        <f t="shared" si="7"/>
        <v>112171.32</v>
      </c>
      <c r="F58" s="58">
        <v>112171.32</v>
      </c>
      <c r="G58" s="58" t="s">
        <v>23</v>
      </c>
      <c r="H58" s="59" t="s">
        <v>23</v>
      </c>
      <c r="I58" s="58">
        <f t="shared" si="8"/>
        <v>110784.66</v>
      </c>
      <c r="J58" s="59" t="s">
        <v>23</v>
      </c>
      <c r="K58" s="59" t="s">
        <v>23</v>
      </c>
    </row>
    <row r="59" spans="1:19" ht="13.8">
      <c r="A59" s="84"/>
      <c r="B59" s="5" t="s">
        <v>54</v>
      </c>
      <c r="C59" s="5"/>
      <c r="D59" s="6" t="s">
        <v>18</v>
      </c>
      <c r="E59" s="58">
        <f t="shared" si="7"/>
        <v>66481.399999999994</v>
      </c>
      <c r="F59" s="58">
        <v>66481.399999999994</v>
      </c>
      <c r="G59" s="58" t="s">
        <v>23</v>
      </c>
      <c r="H59" s="59" t="s">
        <v>23</v>
      </c>
      <c r="I59" s="58">
        <f t="shared" si="8"/>
        <v>65094.739999999991</v>
      </c>
      <c r="J59" s="59" t="s">
        <v>23</v>
      </c>
      <c r="K59" s="59" t="s">
        <v>23</v>
      </c>
    </row>
    <row r="60" spans="1:19" ht="13.8">
      <c r="A60" s="84"/>
      <c r="B60" s="5" t="s">
        <v>55</v>
      </c>
      <c r="C60" s="5"/>
      <c r="D60" s="6" t="s">
        <v>18</v>
      </c>
      <c r="E60" s="58">
        <f t="shared" si="7"/>
        <v>80305.41</v>
      </c>
      <c r="F60" s="58">
        <v>80305.41</v>
      </c>
      <c r="G60" s="58" t="s">
        <v>23</v>
      </c>
      <c r="H60" s="59" t="s">
        <v>23</v>
      </c>
      <c r="I60" s="58">
        <f t="shared" si="8"/>
        <v>78918.75</v>
      </c>
      <c r="J60" s="59" t="s">
        <v>23</v>
      </c>
      <c r="K60" s="59" t="s">
        <v>23</v>
      </c>
    </row>
    <row r="61" spans="1:19" ht="13.8">
      <c r="A61" s="84"/>
      <c r="B61" s="5" t="s">
        <v>48</v>
      </c>
      <c r="C61" s="5"/>
      <c r="D61" s="6" t="s">
        <v>18</v>
      </c>
      <c r="E61" s="58">
        <f t="shared" si="7"/>
        <v>174992.98</v>
      </c>
      <c r="F61" s="58">
        <v>174992.98</v>
      </c>
      <c r="G61" s="58" t="s">
        <v>23</v>
      </c>
      <c r="H61" s="59" t="s">
        <v>23</v>
      </c>
      <c r="I61" s="58">
        <f t="shared" si="8"/>
        <v>173606.32</v>
      </c>
      <c r="J61" s="59" t="s">
        <v>23</v>
      </c>
      <c r="K61" s="59" t="s">
        <v>23</v>
      </c>
    </row>
    <row r="62" spans="1:19" ht="13.8">
      <c r="A62" s="84"/>
      <c r="B62" s="5" t="s">
        <v>49</v>
      </c>
      <c r="C62" s="5"/>
      <c r="D62" s="6" t="s">
        <v>18</v>
      </c>
      <c r="E62" s="58">
        <f t="shared" si="7"/>
        <v>211528.74</v>
      </c>
      <c r="F62" s="58">
        <v>211528.74</v>
      </c>
      <c r="G62" s="58" t="s">
        <v>23</v>
      </c>
      <c r="H62" s="59" t="s">
        <v>23</v>
      </c>
      <c r="I62" s="58">
        <f t="shared" si="8"/>
        <v>210142.07999999999</v>
      </c>
      <c r="J62" s="59" t="s">
        <v>23</v>
      </c>
      <c r="K62" s="59" t="s">
        <v>23</v>
      </c>
    </row>
    <row r="63" spans="1:19" ht="13.8">
      <c r="A63" s="84"/>
      <c r="B63" s="5" t="s">
        <v>56</v>
      </c>
      <c r="C63" s="5"/>
      <c r="D63" s="6" t="s">
        <v>18</v>
      </c>
      <c r="E63" s="58">
        <f t="shared" si="7"/>
        <v>178902.16</v>
      </c>
      <c r="F63" s="58">
        <v>178902.16</v>
      </c>
      <c r="G63" s="58" t="s">
        <v>23</v>
      </c>
      <c r="H63" s="59" t="s">
        <v>23</v>
      </c>
      <c r="I63" s="58">
        <f t="shared" si="8"/>
        <v>177515.5</v>
      </c>
      <c r="J63" s="59" t="s">
        <v>23</v>
      </c>
      <c r="K63" s="59" t="s">
        <v>23</v>
      </c>
    </row>
    <row r="64" spans="1:19" ht="13.8">
      <c r="A64" s="84"/>
      <c r="B64" s="5" t="s">
        <v>57</v>
      </c>
      <c r="C64" s="5"/>
      <c r="D64" s="6" t="s">
        <v>18</v>
      </c>
      <c r="E64" s="58">
        <f t="shared" si="7"/>
        <v>216484.28</v>
      </c>
      <c r="F64" s="58">
        <v>216484.28</v>
      </c>
      <c r="G64" s="58" t="s">
        <v>23</v>
      </c>
      <c r="H64" s="59" t="s">
        <v>23</v>
      </c>
      <c r="I64" s="58">
        <f t="shared" si="8"/>
        <v>215097.62</v>
      </c>
      <c r="J64" s="59" t="s">
        <v>23</v>
      </c>
      <c r="K64" s="59" t="s">
        <v>23</v>
      </c>
    </row>
    <row r="65" spans="1:14" ht="13.8">
      <c r="A65" s="84"/>
      <c r="B65" s="5" t="s">
        <v>50</v>
      </c>
      <c r="C65" s="5"/>
      <c r="D65" s="6" t="s">
        <v>18</v>
      </c>
      <c r="E65" s="58">
        <f t="shared" si="7"/>
        <v>99770.92</v>
      </c>
      <c r="F65" s="58">
        <v>99770.92</v>
      </c>
      <c r="G65" s="58" t="s">
        <v>23</v>
      </c>
      <c r="H65" s="59" t="s">
        <v>23</v>
      </c>
      <c r="I65" s="58">
        <f t="shared" si="8"/>
        <v>98384.26</v>
      </c>
      <c r="J65" s="59" t="s">
        <v>23</v>
      </c>
      <c r="K65" s="59" t="s">
        <v>23</v>
      </c>
    </row>
    <row r="66" spans="1:14" ht="13.8">
      <c r="A66" s="84"/>
      <c r="B66" s="5" t="s">
        <v>51</v>
      </c>
      <c r="C66" s="5"/>
      <c r="D66" s="6" t="s">
        <v>18</v>
      </c>
      <c r="E66" s="58">
        <f t="shared" si="7"/>
        <v>120892.18</v>
      </c>
      <c r="F66" s="58">
        <v>120892.18</v>
      </c>
      <c r="G66" s="58" t="s">
        <v>23</v>
      </c>
      <c r="H66" s="59" t="s">
        <v>23</v>
      </c>
      <c r="I66" s="58">
        <f t="shared" si="8"/>
        <v>119505.51999999999</v>
      </c>
      <c r="J66" s="59" t="s">
        <v>23</v>
      </c>
      <c r="K66" s="59" t="s">
        <v>23</v>
      </c>
    </row>
    <row r="67" spans="1:14" ht="13.8">
      <c r="A67" s="84"/>
      <c r="B67" s="5" t="s">
        <v>110</v>
      </c>
      <c r="C67" s="5"/>
      <c r="D67" s="6" t="s">
        <v>18</v>
      </c>
      <c r="E67" s="58">
        <f t="shared" si="7"/>
        <v>297678.93</v>
      </c>
      <c r="F67" s="58">
        <v>297678.93</v>
      </c>
      <c r="G67" s="58" t="s">
        <v>23</v>
      </c>
      <c r="H67" s="59" t="s">
        <v>23</v>
      </c>
      <c r="I67" s="58">
        <f t="shared" si="8"/>
        <v>296292.27</v>
      </c>
      <c r="J67" s="59" t="s">
        <v>23</v>
      </c>
      <c r="K67" s="59" t="s">
        <v>23</v>
      </c>
    </row>
    <row r="68" spans="1:14" ht="13.8">
      <c r="A68" s="84"/>
      <c r="B68" s="5" t="s">
        <v>111</v>
      </c>
      <c r="C68" s="5"/>
      <c r="D68" s="6" t="s">
        <v>18</v>
      </c>
      <c r="E68" s="58">
        <f t="shared" si="7"/>
        <v>361287.38</v>
      </c>
      <c r="F68" s="58">
        <v>361287.38</v>
      </c>
      <c r="G68" s="58" t="s">
        <v>23</v>
      </c>
      <c r="H68" s="59" t="s">
        <v>23</v>
      </c>
      <c r="I68" s="58">
        <f t="shared" si="8"/>
        <v>359900.72000000003</v>
      </c>
      <c r="J68" s="59" t="s">
        <v>23</v>
      </c>
      <c r="K68" s="59" t="s">
        <v>23</v>
      </c>
    </row>
    <row r="69" spans="1:14" ht="13.8">
      <c r="A69" s="84"/>
      <c r="B69" s="5" t="s">
        <v>39</v>
      </c>
      <c r="C69" s="5"/>
      <c r="D69" s="6" t="s">
        <v>18</v>
      </c>
      <c r="E69" s="58">
        <f t="shared" si="7"/>
        <v>23678.79</v>
      </c>
      <c r="F69" s="58">
        <v>23678.79</v>
      </c>
      <c r="G69" s="58" t="s">
        <v>23</v>
      </c>
      <c r="H69" s="59" t="s">
        <v>23</v>
      </c>
      <c r="I69" s="58">
        <f t="shared" si="8"/>
        <v>22292.13</v>
      </c>
      <c r="J69" s="59" t="s">
        <v>23</v>
      </c>
      <c r="K69" s="59" t="s">
        <v>23</v>
      </c>
    </row>
    <row r="70" spans="1:14" ht="13.8">
      <c r="A70" s="84"/>
      <c r="B70" s="5" t="s">
        <v>40</v>
      </c>
      <c r="C70" s="5"/>
      <c r="D70" s="6" t="s">
        <v>18</v>
      </c>
      <c r="E70" s="58">
        <f t="shared" si="7"/>
        <v>28464.5</v>
      </c>
      <c r="F70" s="58">
        <v>28464.5</v>
      </c>
      <c r="G70" s="58" t="s">
        <v>23</v>
      </c>
      <c r="H70" s="59" t="s">
        <v>23</v>
      </c>
      <c r="I70" s="58">
        <f t="shared" si="8"/>
        <v>27077.84</v>
      </c>
      <c r="J70" s="59" t="s">
        <v>23</v>
      </c>
      <c r="K70" s="59" t="s">
        <v>23</v>
      </c>
    </row>
    <row r="71" spans="1:14" ht="63" customHeight="1">
      <c r="A71" s="84"/>
      <c r="B71" s="12" t="s">
        <v>34</v>
      </c>
      <c r="C71" s="12"/>
      <c r="D71" s="6" t="s">
        <v>18</v>
      </c>
      <c r="E71" s="58">
        <f>SUM(F71:H71)</f>
        <v>126865.35</v>
      </c>
      <c r="F71" s="58">
        <f>121511.73+1351.63</f>
        <v>122863.36</v>
      </c>
      <c r="G71" s="11">
        <f>4001.99</f>
        <v>4001.99</v>
      </c>
      <c r="H71" s="60" t="s">
        <v>23</v>
      </c>
      <c r="I71" s="58">
        <f>121511.73-1577.47</f>
        <v>119934.26</v>
      </c>
      <c r="J71" s="59" t="s">
        <v>23</v>
      </c>
      <c r="K71" s="59" t="s">
        <v>23</v>
      </c>
      <c r="L71" s="10"/>
      <c r="M71" s="10"/>
      <c r="N71" s="10"/>
    </row>
    <row r="72" spans="1:14" ht="61.95" customHeight="1">
      <c r="A72" s="84"/>
      <c r="B72" s="12" t="s">
        <v>42</v>
      </c>
      <c r="C72" s="12"/>
      <c r="D72" s="6" t="s">
        <v>18</v>
      </c>
      <c r="E72" s="58">
        <f>SUM(F72:H72)</f>
        <v>186512.29</v>
      </c>
      <c r="F72" s="58">
        <f>181158.67+1351.63</f>
        <v>182510.30000000002</v>
      </c>
      <c r="G72" s="11">
        <f>4001.99</f>
        <v>4001.99</v>
      </c>
      <c r="H72" s="60" t="s">
        <v>23</v>
      </c>
      <c r="I72" s="58">
        <f>181158.67-1577.47</f>
        <v>179581.2</v>
      </c>
      <c r="J72" s="59" t="s">
        <v>23</v>
      </c>
      <c r="K72" s="59" t="s">
        <v>23</v>
      </c>
      <c r="L72" s="10"/>
      <c r="M72" s="10"/>
      <c r="N72" s="10"/>
    </row>
    <row r="73" spans="1:14" ht="60" customHeight="1">
      <c r="A73" s="84"/>
      <c r="B73" s="12" t="s">
        <v>35</v>
      </c>
      <c r="C73" s="12"/>
      <c r="D73" s="6" t="s">
        <v>18</v>
      </c>
      <c r="E73" s="58">
        <f>F73</f>
        <v>21475.65</v>
      </c>
      <c r="F73" s="58">
        <v>21475.65</v>
      </c>
      <c r="G73" s="58" t="s">
        <v>23</v>
      </c>
      <c r="H73" s="59" t="s">
        <v>23</v>
      </c>
      <c r="I73" s="58">
        <f>F73</f>
        <v>21475.65</v>
      </c>
      <c r="J73" s="59" t="s">
        <v>23</v>
      </c>
      <c r="K73" s="59" t="s">
        <v>23</v>
      </c>
    </row>
    <row r="74" spans="1:14" ht="61.2" customHeight="1">
      <c r="A74" s="85"/>
      <c r="B74" s="12" t="s">
        <v>36</v>
      </c>
      <c r="C74" s="12"/>
      <c r="D74" s="6" t="s">
        <v>18</v>
      </c>
      <c r="E74" s="58">
        <f>F74</f>
        <v>25935.439999999999</v>
      </c>
      <c r="F74" s="58">
        <v>25935.439999999999</v>
      </c>
      <c r="G74" s="58" t="s">
        <v>23</v>
      </c>
      <c r="H74" s="59" t="s">
        <v>23</v>
      </c>
      <c r="I74" s="58">
        <f>F74</f>
        <v>25935.439999999999</v>
      </c>
      <c r="J74" s="59" t="s">
        <v>23</v>
      </c>
      <c r="K74" s="59" t="s">
        <v>23</v>
      </c>
    </row>
    <row r="75" spans="1:14" ht="50.4" customHeight="1">
      <c r="A75" s="93" t="s">
        <v>74</v>
      </c>
      <c r="B75" s="12" t="s">
        <v>17</v>
      </c>
      <c r="C75" s="12"/>
      <c r="D75" s="4" t="s">
        <v>18</v>
      </c>
      <c r="E75" s="11">
        <f t="shared" ref="E75:E80" si="9">SUM(F75:H75)</f>
        <v>54702.01</v>
      </c>
      <c r="F75" s="11">
        <f>34483.05+1649.65</f>
        <v>36132.700000000004</v>
      </c>
      <c r="G75" s="11">
        <f t="shared" ref="G75:G80" si="10">4001.99</f>
        <v>4001.99</v>
      </c>
      <c r="H75" s="59">
        <v>14567.32</v>
      </c>
      <c r="I75" s="72">
        <f>34483.05-1577.47</f>
        <v>32905.58</v>
      </c>
      <c r="J75" s="61">
        <v>3432.48</v>
      </c>
      <c r="K75" s="61">
        <v>299.14999999999998</v>
      </c>
      <c r="L75" s="62" t="s">
        <v>87</v>
      </c>
      <c r="M75" s="62"/>
      <c r="N75" s="62"/>
    </row>
    <row r="76" spans="1:14" ht="52.2" customHeight="1">
      <c r="A76" s="94"/>
      <c r="B76" s="12" t="s">
        <v>17</v>
      </c>
      <c r="C76" s="12"/>
      <c r="D76" s="4" t="s">
        <v>18</v>
      </c>
      <c r="E76" s="11">
        <f t="shared" si="9"/>
        <v>54702.01</v>
      </c>
      <c r="F76" s="11">
        <f>34483.05+1649.65</f>
        <v>36132.700000000004</v>
      </c>
      <c r="G76" s="11">
        <f t="shared" si="10"/>
        <v>4001.99</v>
      </c>
      <c r="H76" s="59">
        <v>14567.32</v>
      </c>
      <c r="I76" s="72">
        <f>34483.05-1577.47</f>
        <v>32905.58</v>
      </c>
      <c r="J76" s="61">
        <v>3432.48</v>
      </c>
      <c r="K76" s="61">
        <v>299.14999999999998</v>
      </c>
      <c r="L76" s="62" t="s">
        <v>88</v>
      </c>
      <c r="M76" s="62"/>
      <c r="N76" s="62"/>
    </row>
    <row r="77" spans="1:14" ht="49.95" customHeight="1">
      <c r="A77" s="94"/>
      <c r="B77" s="12" t="s">
        <v>17</v>
      </c>
      <c r="C77" s="12"/>
      <c r="D77" s="4" t="s">
        <v>18</v>
      </c>
      <c r="E77" s="11">
        <f t="shared" si="9"/>
        <v>54702.01</v>
      </c>
      <c r="F77" s="11">
        <f>34483.05+1649.65</f>
        <v>36132.700000000004</v>
      </c>
      <c r="G77" s="11">
        <f t="shared" si="10"/>
        <v>4001.99</v>
      </c>
      <c r="H77" s="59">
        <v>14567.32</v>
      </c>
      <c r="I77" s="72">
        <f>34483.05-1577.47</f>
        <v>32905.58</v>
      </c>
      <c r="J77" s="61">
        <v>3432.48</v>
      </c>
      <c r="K77" s="61">
        <v>299.14999999999998</v>
      </c>
      <c r="L77" s="62" t="s">
        <v>89</v>
      </c>
      <c r="M77" s="62"/>
      <c r="N77" s="62"/>
    </row>
    <row r="78" spans="1:14" ht="41.4" customHeight="1">
      <c r="A78" s="94"/>
      <c r="B78" s="12" t="s">
        <v>17</v>
      </c>
      <c r="C78" s="12"/>
      <c r="D78" s="4" t="s">
        <v>18</v>
      </c>
      <c r="E78" s="11">
        <f t="shared" si="9"/>
        <v>54702.01</v>
      </c>
      <c r="F78" s="11">
        <f>34483.05+1649.65</f>
        <v>36132.700000000004</v>
      </c>
      <c r="G78" s="11">
        <f t="shared" si="10"/>
        <v>4001.99</v>
      </c>
      <c r="H78" s="59">
        <v>14567.32</v>
      </c>
      <c r="I78" s="72">
        <f>34483.05-1577.47</f>
        <v>32905.58</v>
      </c>
      <c r="J78" s="61">
        <v>3432.48</v>
      </c>
      <c r="K78" s="61">
        <v>299.14999999999998</v>
      </c>
      <c r="L78" s="62" t="s">
        <v>90</v>
      </c>
      <c r="M78" s="62"/>
      <c r="N78" s="62"/>
    </row>
    <row r="79" spans="1:14" ht="43.2" customHeight="1">
      <c r="A79" s="94"/>
      <c r="B79" s="12" t="s">
        <v>17</v>
      </c>
      <c r="C79" s="12"/>
      <c r="D79" s="4" t="s">
        <v>18</v>
      </c>
      <c r="E79" s="11">
        <f t="shared" si="9"/>
        <v>54702.01</v>
      </c>
      <c r="F79" s="11">
        <f>34483.05+1649.65</f>
        <v>36132.700000000004</v>
      </c>
      <c r="G79" s="11">
        <f t="shared" si="10"/>
        <v>4001.99</v>
      </c>
      <c r="H79" s="59">
        <v>14567.32</v>
      </c>
      <c r="I79" s="72">
        <f>34483.05-1577.47</f>
        <v>32905.58</v>
      </c>
      <c r="J79" s="61">
        <v>3432.48</v>
      </c>
      <c r="K79" s="61">
        <v>299.14999999999998</v>
      </c>
      <c r="L79" s="62" t="s">
        <v>85</v>
      </c>
      <c r="M79" s="62"/>
      <c r="N79" s="62"/>
    </row>
    <row r="80" spans="1:14" ht="44.4" customHeight="1">
      <c r="A80" s="94"/>
      <c r="B80" s="12" t="s">
        <v>24</v>
      </c>
      <c r="C80" s="12"/>
      <c r="D80" s="4" t="s">
        <v>18</v>
      </c>
      <c r="E80" s="11">
        <f t="shared" si="9"/>
        <v>58138.11</v>
      </c>
      <c r="F80" s="11">
        <f>37919.15+1649.65</f>
        <v>39568.800000000003</v>
      </c>
      <c r="G80" s="11">
        <f t="shared" si="10"/>
        <v>4001.99</v>
      </c>
      <c r="H80" s="59">
        <v>14567.32</v>
      </c>
      <c r="I80" s="72">
        <f>37919.15-1577.47</f>
        <v>36341.68</v>
      </c>
      <c r="J80" s="61">
        <v>3432.48</v>
      </c>
      <c r="K80" s="61">
        <v>299.14999999999998</v>
      </c>
      <c r="L80" s="62" t="s">
        <v>85</v>
      </c>
      <c r="M80" s="62"/>
      <c r="N80" s="62"/>
    </row>
    <row r="81" spans="1:23" ht="58.2" hidden="1" customHeight="1">
      <c r="A81" s="94"/>
      <c r="B81" s="12" t="s">
        <v>17</v>
      </c>
      <c r="C81" s="12"/>
      <c r="D81" s="4"/>
      <c r="E81" s="11"/>
      <c r="F81" s="11"/>
      <c r="G81" s="11"/>
      <c r="H81" s="59"/>
      <c r="I81" s="72"/>
      <c r="J81" s="61"/>
      <c r="K81" s="61"/>
      <c r="L81" s="62"/>
      <c r="M81" s="62"/>
      <c r="N81" s="62"/>
    </row>
    <row r="82" spans="1:23" ht="70.95" customHeight="1">
      <c r="A82" s="94"/>
      <c r="B82" s="12" t="s">
        <v>19</v>
      </c>
      <c r="C82" s="12"/>
      <c r="D82" s="4" t="s">
        <v>20</v>
      </c>
      <c r="E82" s="15" t="s">
        <v>139</v>
      </c>
      <c r="F82" s="11" t="s">
        <v>112</v>
      </c>
      <c r="G82" s="11" t="s">
        <v>104</v>
      </c>
      <c r="H82" s="39" t="s">
        <v>141</v>
      </c>
      <c r="I82" s="72" t="s">
        <v>113</v>
      </c>
      <c r="J82" s="39" t="s">
        <v>142</v>
      </c>
      <c r="K82" s="39" t="s">
        <v>143</v>
      </c>
      <c r="L82" s="62" t="s">
        <v>86</v>
      </c>
      <c r="M82" s="62"/>
      <c r="N82" s="62"/>
      <c r="O82" s="28">
        <v>1649.65</v>
      </c>
      <c r="P82" s="28">
        <v>4001.99</v>
      </c>
      <c r="Q82" s="7">
        <v>20284.349999999999</v>
      </c>
      <c r="R82" s="42">
        <f>O82+P82+Q82</f>
        <v>25935.989999999998</v>
      </c>
      <c r="S82" s="30"/>
      <c r="T82" s="7">
        <f>4001.99*2.411294</f>
        <v>9649.9744750599984</v>
      </c>
      <c r="U82" s="7">
        <v>1622.42</v>
      </c>
      <c r="V82" s="7">
        <v>11462.74</v>
      </c>
      <c r="W82" s="7">
        <f>T82+U82+V82</f>
        <v>22735.134475059996</v>
      </c>
    </row>
    <row r="83" spans="1:23" ht="125.4" customHeight="1">
      <c r="A83" s="94"/>
      <c r="B83" s="50" t="s">
        <v>21</v>
      </c>
      <c r="C83" s="50"/>
      <c r="D83" s="27" t="s">
        <v>20</v>
      </c>
      <c r="E83" s="39" t="s">
        <v>140</v>
      </c>
      <c r="F83" s="11" t="s">
        <v>114</v>
      </c>
      <c r="G83" s="11" t="s">
        <v>104</v>
      </c>
      <c r="H83" s="39" t="s">
        <v>141</v>
      </c>
      <c r="I83" s="72" t="s">
        <v>115</v>
      </c>
      <c r="J83" s="39" t="s">
        <v>142</v>
      </c>
      <c r="K83" s="39" t="s">
        <v>143</v>
      </c>
    </row>
    <row r="84" spans="1:23" ht="70.95" customHeight="1">
      <c r="A84" s="94"/>
      <c r="B84" s="5" t="s">
        <v>33</v>
      </c>
      <c r="C84" s="5"/>
      <c r="D84" s="6" t="s">
        <v>18</v>
      </c>
      <c r="E84" s="58" t="s">
        <v>22</v>
      </c>
      <c r="F84" s="58" t="s">
        <v>22</v>
      </c>
      <c r="G84" s="58" t="s">
        <v>22</v>
      </c>
      <c r="H84" s="59">
        <v>0.76</v>
      </c>
      <c r="I84" s="58" t="s">
        <v>22</v>
      </c>
      <c r="J84" s="59" t="s">
        <v>22</v>
      </c>
      <c r="K84" s="59" t="s">
        <v>22</v>
      </c>
    </row>
    <row r="85" spans="1:23" ht="13.8">
      <c r="A85" s="63"/>
      <c r="B85" s="5" t="s">
        <v>44</v>
      </c>
      <c r="C85" s="5"/>
      <c r="D85" s="6" t="s">
        <v>18</v>
      </c>
      <c r="E85" s="58">
        <f>F85</f>
        <v>69482.740000000005</v>
      </c>
      <c r="F85" s="58">
        <v>69482.740000000005</v>
      </c>
      <c r="G85" s="58" t="s">
        <v>23</v>
      </c>
      <c r="H85" s="59" t="s">
        <v>23</v>
      </c>
      <c r="I85" s="58">
        <f>F85-1386.66</f>
        <v>68096.08</v>
      </c>
      <c r="J85" s="59" t="s">
        <v>23</v>
      </c>
      <c r="K85" s="59" t="s">
        <v>23</v>
      </c>
    </row>
    <row r="86" spans="1:23" ht="13.8">
      <c r="A86" s="63"/>
      <c r="B86" s="5" t="s">
        <v>45</v>
      </c>
      <c r="C86" s="5"/>
      <c r="D86" s="6" t="s">
        <v>18</v>
      </c>
      <c r="E86" s="58">
        <f>F86</f>
        <v>83951.08</v>
      </c>
      <c r="F86" s="58">
        <v>83951.08</v>
      </c>
      <c r="G86" s="58" t="s">
        <v>23</v>
      </c>
      <c r="H86" s="59" t="s">
        <v>23</v>
      </c>
      <c r="I86" s="58">
        <f t="shared" ref="I86:I96" si="11">F86-1386.66</f>
        <v>82564.42</v>
      </c>
      <c r="J86" s="59" t="s">
        <v>23</v>
      </c>
      <c r="K86" s="59" t="s">
        <v>23</v>
      </c>
    </row>
    <row r="87" spans="1:23" ht="13.8">
      <c r="A87" s="63"/>
      <c r="B87" s="5" t="s">
        <v>46</v>
      </c>
      <c r="C87" s="5"/>
      <c r="D87" s="6" t="s">
        <v>18</v>
      </c>
      <c r="E87" s="58">
        <f t="shared" ref="E87:E96" si="12">F87</f>
        <v>25714.959999999999</v>
      </c>
      <c r="F87" s="58">
        <v>25714.959999999999</v>
      </c>
      <c r="G87" s="58" t="s">
        <v>23</v>
      </c>
      <c r="H87" s="59" t="s">
        <v>23</v>
      </c>
      <c r="I87" s="58">
        <f t="shared" si="11"/>
        <v>24328.3</v>
      </c>
      <c r="J87" s="59" t="s">
        <v>23</v>
      </c>
      <c r="K87" s="59" t="s">
        <v>23</v>
      </c>
    </row>
    <row r="88" spans="1:23" ht="13.8">
      <c r="A88" s="63"/>
      <c r="B88" s="5" t="s">
        <v>47</v>
      </c>
      <c r="C88" s="5"/>
      <c r="D88" s="6" t="s">
        <v>18</v>
      </c>
      <c r="E88" s="58">
        <f t="shared" si="12"/>
        <v>30937.81</v>
      </c>
      <c r="F88" s="58">
        <v>30937.81</v>
      </c>
      <c r="G88" s="58" t="s">
        <v>23</v>
      </c>
      <c r="H88" s="59" t="s">
        <v>23</v>
      </c>
      <c r="I88" s="58">
        <f t="shared" si="11"/>
        <v>29551.15</v>
      </c>
      <c r="J88" s="59" t="s">
        <v>23</v>
      </c>
      <c r="K88" s="59" t="s">
        <v>23</v>
      </c>
    </row>
    <row r="89" spans="1:23" ht="13.8">
      <c r="A89" s="63"/>
      <c r="B89" s="5" t="s">
        <v>37</v>
      </c>
      <c r="C89" s="5"/>
      <c r="D89" s="6" t="s">
        <v>18</v>
      </c>
      <c r="E89" s="58">
        <f t="shared" si="12"/>
        <v>92591.35</v>
      </c>
      <c r="F89" s="58">
        <v>92591.35</v>
      </c>
      <c r="G89" s="58" t="s">
        <v>23</v>
      </c>
      <c r="H89" s="59" t="s">
        <v>23</v>
      </c>
      <c r="I89" s="58">
        <f t="shared" si="11"/>
        <v>91204.69</v>
      </c>
      <c r="J89" s="59" t="s">
        <v>23</v>
      </c>
      <c r="K89" s="59" t="s">
        <v>23</v>
      </c>
    </row>
    <row r="90" spans="1:23" ht="13.8">
      <c r="A90" s="63"/>
      <c r="B90" s="5" t="s">
        <v>38</v>
      </c>
      <c r="C90" s="5"/>
      <c r="D90" s="6" t="s">
        <v>18</v>
      </c>
      <c r="E90" s="58">
        <f t="shared" si="12"/>
        <v>112171.32</v>
      </c>
      <c r="F90" s="58">
        <v>112171.32</v>
      </c>
      <c r="G90" s="58" t="s">
        <v>23</v>
      </c>
      <c r="H90" s="59" t="s">
        <v>23</v>
      </c>
      <c r="I90" s="58">
        <f t="shared" si="11"/>
        <v>110784.66</v>
      </c>
      <c r="J90" s="59" t="s">
        <v>23</v>
      </c>
      <c r="K90" s="59" t="s">
        <v>23</v>
      </c>
    </row>
    <row r="91" spans="1:23" ht="13.8">
      <c r="A91" s="63"/>
      <c r="B91" s="5" t="s">
        <v>48</v>
      </c>
      <c r="C91" s="5"/>
      <c r="D91" s="6" t="s">
        <v>18</v>
      </c>
      <c r="E91" s="58">
        <f t="shared" si="12"/>
        <v>264803.59999999998</v>
      </c>
      <c r="F91" s="58">
        <v>264803.59999999998</v>
      </c>
      <c r="G91" s="58" t="s">
        <v>23</v>
      </c>
      <c r="H91" s="59" t="s">
        <v>23</v>
      </c>
      <c r="I91" s="58">
        <f t="shared" si="11"/>
        <v>263416.94</v>
      </c>
      <c r="J91" s="59" t="s">
        <v>23</v>
      </c>
      <c r="K91" s="59" t="s">
        <v>23</v>
      </c>
    </row>
    <row r="92" spans="1:23" ht="13.8">
      <c r="A92" s="63"/>
      <c r="B92" s="5" t="s">
        <v>49</v>
      </c>
      <c r="C92" s="5"/>
      <c r="D92" s="6" t="s">
        <v>18</v>
      </c>
      <c r="E92" s="58">
        <f t="shared" si="12"/>
        <v>320239.73</v>
      </c>
      <c r="F92" s="58">
        <v>320239.73</v>
      </c>
      <c r="G92" s="58" t="s">
        <v>23</v>
      </c>
      <c r="H92" s="59" t="s">
        <v>23</v>
      </c>
      <c r="I92" s="58">
        <f t="shared" si="11"/>
        <v>318853.07</v>
      </c>
      <c r="J92" s="59" t="s">
        <v>23</v>
      </c>
      <c r="K92" s="59" t="s">
        <v>23</v>
      </c>
    </row>
    <row r="93" spans="1:23" ht="13.8">
      <c r="A93" s="63"/>
      <c r="B93" s="5" t="s">
        <v>50</v>
      </c>
      <c r="C93" s="5"/>
      <c r="D93" s="6" t="s">
        <v>18</v>
      </c>
      <c r="E93" s="58">
        <f t="shared" si="12"/>
        <v>32894.53</v>
      </c>
      <c r="F93" s="58">
        <v>32894.53</v>
      </c>
      <c r="G93" s="58" t="s">
        <v>23</v>
      </c>
      <c r="H93" s="59" t="s">
        <v>23</v>
      </c>
      <c r="I93" s="58">
        <f t="shared" si="11"/>
        <v>31507.87</v>
      </c>
      <c r="J93" s="59" t="s">
        <v>23</v>
      </c>
      <c r="K93" s="59" t="s">
        <v>23</v>
      </c>
    </row>
    <row r="94" spans="1:23" ht="13.8">
      <c r="A94" s="63"/>
      <c r="B94" s="5" t="s">
        <v>51</v>
      </c>
      <c r="C94" s="5"/>
      <c r="D94" s="6" t="s">
        <v>18</v>
      </c>
      <c r="E94" s="58">
        <f t="shared" si="12"/>
        <v>39658.68</v>
      </c>
      <c r="F94" s="58">
        <v>39658.68</v>
      </c>
      <c r="G94" s="58" t="s">
        <v>23</v>
      </c>
      <c r="H94" s="59" t="s">
        <v>23</v>
      </c>
      <c r="I94" s="58">
        <f t="shared" si="11"/>
        <v>38272.019999999997</v>
      </c>
      <c r="J94" s="59" t="s">
        <v>23</v>
      </c>
      <c r="K94" s="59" t="s">
        <v>23</v>
      </c>
    </row>
    <row r="95" spans="1:23" ht="13.8">
      <c r="A95" s="63"/>
      <c r="B95" s="5" t="s">
        <v>39</v>
      </c>
      <c r="C95" s="5"/>
      <c r="D95" s="6" t="s">
        <v>18</v>
      </c>
      <c r="E95" s="58">
        <f t="shared" si="12"/>
        <v>23678.79</v>
      </c>
      <c r="F95" s="58">
        <v>23678.79</v>
      </c>
      <c r="G95" s="58" t="s">
        <v>23</v>
      </c>
      <c r="H95" s="59" t="s">
        <v>23</v>
      </c>
      <c r="I95" s="58">
        <f t="shared" si="11"/>
        <v>22292.13</v>
      </c>
      <c r="J95" s="59" t="s">
        <v>23</v>
      </c>
      <c r="K95" s="59" t="s">
        <v>23</v>
      </c>
    </row>
    <row r="96" spans="1:23" ht="13.8">
      <c r="A96" s="63"/>
      <c r="B96" s="5" t="s">
        <v>40</v>
      </c>
      <c r="C96" s="5"/>
      <c r="D96" s="6" t="s">
        <v>18</v>
      </c>
      <c r="E96" s="58">
        <f t="shared" si="12"/>
        <v>28464.5</v>
      </c>
      <c r="F96" s="58">
        <v>28464.5</v>
      </c>
      <c r="G96" s="58" t="s">
        <v>23</v>
      </c>
      <c r="H96" s="59" t="s">
        <v>23</v>
      </c>
      <c r="I96" s="58">
        <f t="shared" si="11"/>
        <v>27077.84</v>
      </c>
      <c r="J96" s="59" t="s">
        <v>23</v>
      </c>
      <c r="K96" s="59" t="s">
        <v>23</v>
      </c>
    </row>
    <row r="97" spans="1:19" ht="63.6" customHeight="1">
      <c r="A97" s="63"/>
      <c r="B97" s="12" t="s">
        <v>34</v>
      </c>
      <c r="C97" s="12"/>
      <c r="D97" s="6" t="s">
        <v>18</v>
      </c>
      <c r="E97" s="58">
        <f>SUM(F97:H97)</f>
        <v>157146.93</v>
      </c>
      <c r="F97" s="58">
        <f>151495.29+1649.65</f>
        <v>153144.94</v>
      </c>
      <c r="G97" s="58">
        <f>4001.99</f>
        <v>4001.99</v>
      </c>
      <c r="H97" s="59" t="s">
        <v>23</v>
      </c>
      <c r="I97" s="58">
        <f>151495.29-1577.47</f>
        <v>149917.82</v>
      </c>
      <c r="J97" s="59" t="s">
        <v>23</v>
      </c>
      <c r="K97" s="59" t="s">
        <v>23</v>
      </c>
    </row>
    <row r="98" spans="1:19" ht="55.2">
      <c r="A98" s="63"/>
      <c r="B98" s="12" t="s">
        <v>41</v>
      </c>
      <c r="C98" s="12"/>
      <c r="D98" s="6" t="s">
        <v>18</v>
      </c>
      <c r="E98" s="58">
        <f>SUM(F98:H98)</f>
        <v>231705.61</v>
      </c>
      <c r="F98" s="58">
        <f>226053.97+1649.65</f>
        <v>227703.62</v>
      </c>
      <c r="G98" s="58">
        <f>4001.99</f>
        <v>4001.99</v>
      </c>
      <c r="H98" s="59" t="s">
        <v>23</v>
      </c>
      <c r="I98" s="58">
        <f>226053.97-1577.47</f>
        <v>224476.5</v>
      </c>
      <c r="J98" s="59" t="s">
        <v>23</v>
      </c>
      <c r="K98" s="59" t="s">
        <v>23</v>
      </c>
    </row>
    <row r="99" spans="1:19" ht="59.4" customHeight="1">
      <c r="A99" s="63"/>
      <c r="B99" s="12" t="s">
        <v>35</v>
      </c>
      <c r="C99" s="12"/>
      <c r="D99" s="6" t="s">
        <v>18</v>
      </c>
      <c r="E99" s="58">
        <f>F99</f>
        <v>34003.1</v>
      </c>
      <c r="F99" s="58">
        <v>34003.1</v>
      </c>
      <c r="G99" s="58" t="s">
        <v>23</v>
      </c>
      <c r="H99" s="59" t="s">
        <v>23</v>
      </c>
      <c r="I99" s="58">
        <f>E99</f>
        <v>34003.1</v>
      </c>
      <c r="J99" s="59" t="s">
        <v>23</v>
      </c>
      <c r="K99" s="59" t="s">
        <v>23</v>
      </c>
    </row>
    <row r="100" spans="1:19" ht="57" customHeight="1">
      <c r="A100" s="64"/>
      <c r="B100" s="12" t="s">
        <v>36</v>
      </c>
      <c r="C100" s="12"/>
      <c r="D100" s="6" t="s">
        <v>18</v>
      </c>
      <c r="E100" s="58">
        <f>F100</f>
        <v>41064.449999999997</v>
      </c>
      <c r="F100" s="58">
        <v>41064.449999999997</v>
      </c>
      <c r="G100" s="58" t="s">
        <v>23</v>
      </c>
      <c r="H100" s="59" t="s">
        <v>23</v>
      </c>
      <c r="I100" s="58">
        <f>F100</f>
        <v>41064.449999999997</v>
      </c>
      <c r="J100" s="59" t="s">
        <v>23</v>
      </c>
      <c r="K100" s="59" t="s">
        <v>23</v>
      </c>
    </row>
    <row r="101" spans="1:19" ht="43.2" customHeight="1">
      <c r="A101" s="83" t="s">
        <v>75</v>
      </c>
      <c r="B101" s="12" t="s">
        <v>17</v>
      </c>
      <c r="C101" s="12"/>
      <c r="D101" s="4" t="s">
        <v>18</v>
      </c>
      <c r="E101" s="11">
        <f>SUM(F101:H101)</f>
        <v>62175.83</v>
      </c>
      <c r="F101" s="11">
        <f>41240.72+1998.78</f>
        <v>43239.5</v>
      </c>
      <c r="G101" s="58">
        <f>4001.99</f>
        <v>4001.99</v>
      </c>
      <c r="H101" s="59">
        <v>14934.34</v>
      </c>
      <c r="I101" s="72">
        <f>41240.72-1577.47</f>
        <v>39663.25</v>
      </c>
      <c r="J101" s="61">
        <v>3435.98</v>
      </c>
      <c r="K101" s="61">
        <v>600.9</v>
      </c>
      <c r="L101" s="62" t="s">
        <v>87</v>
      </c>
      <c r="M101" s="62"/>
      <c r="N101" s="62"/>
      <c r="P101" s="7">
        <v>7790.73</v>
      </c>
      <c r="Q101" s="7">
        <v>1428.72</v>
      </c>
      <c r="R101" s="7">
        <v>411.21</v>
      </c>
    </row>
    <row r="102" spans="1:19" ht="43.2" customHeight="1">
      <c r="A102" s="84"/>
      <c r="B102" s="12" t="s">
        <v>17</v>
      </c>
      <c r="C102" s="12"/>
      <c r="D102" s="4" t="s">
        <v>18</v>
      </c>
      <c r="E102" s="11">
        <f>SUM(F102:H102)</f>
        <v>62175.83</v>
      </c>
      <c r="F102" s="11">
        <f>41240.72+1998.78</f>
        <v>43239.5</v>
      </c>
      <c r="G102" s="58">
        <f>4001.99</f>
        <v>4001.99</v>
      </c>
      <c r="H102" s="59">
        <v>14934.34</v>
      </c>
      <c r="I102" s="72">
        <f>41240.72-1577.47</f>
        <v>39663.25</v>
      </c>
      <c r="J102" s="61">
        <v>3435.98</v>
      </c>
      <c r="K102" s="61">
        <v>600.9</v>
      </c>
      <c r="L102" s="62" t="s">
        <v>88</v>
      </c>
      <c r="M102" s="62"/>
      <c r="N102" s="62"/>
    </row>
    <row r="103" spans="1:19" ht="45" customHeight="1">
      <c r="A103" s="84"/>
      <c r="B103" s="12" t="s">
        <v>17</v>
      </c>
      <c r="C103" s="12"/>
      <c r="D103" s="4" t="s">
        <v>18</v>
      </c>
      <c r="E103" s="11">
        <f>SUM(F103:H103)</f>
        <v>62175.83</v>
      </c>
      <c r="F103" s="11">
        <f>41240.72+1998.78</f>
        <v>43239.5</v>
      </c>
      <c r="G103" s="58">
        <f>4001.99</f>
        <v>4001.99</v>
      </c>
      <c r="H103" s="59">
        <v>14934.34</v>
      </c>
      <c r="I103" s="72">
        <f>41240.72-1577.47</f>
        <v>39663.25</v>
      </c>
      <c r="J103" s="61">
        <v>3435.98</v>
      </c>
      <c r="K103" s="61">
        <v>600.9</v>
      </c>
      <c r="L103" s="62" t="s">
        <v>89</v>
      </c>
      <c r="M103" s="62"/>
      <c r="N103" s="62"/>
    </row>
    <row r="104" spans="1:19" ht="45.6" customHeight="1">
      <c r="A104" s="84"/>
      <c r="B104" s="12" t="s">
        <v>17</v>
      </c>
      <c r="C104" s="12"/>
      <c r="D104" s="4" t="s">
        <v>18</v>
      </c>
      <c r="E104" s="11">
        <f>SUM(F104:H104)</f>
        <v>62175.83</v>
      </c>
      <c r="F104" s="11">
        <f>41240.72+1998.78</f>
        <v>43239.5</v>
      </c>
      <c r="G104" s="58">
        <f>4001.99</f>
        <v>4001.99</v>
      </c>
      <c r="H104" s="59">
        <v>14934.34</v>
      </c>
      <c r="I104" s="72">
        <f>41240.72-1577.47</f>
        <v>39663.25</v>
      </c>
      <c r="J104" s="61">
        <v>3435.98</v>
      </c>
      <c r="K104" s="61">
        <v>600.9</v>
      </c>
      <c r="L104" s="62" t="s">
        <v>90</v>
      </c>
      <c r="M104" s="62"/>
      <c r="N104" s="62"/>
    </row>
    <row r="105" spans="1:19" ht="45.6" customHeight="1">
      <c r="A105" s="84"/>
      <c r="B105" s="12" t="s">
        <v>17</v>
      </c>
      <c r="C105" s="12"/>
      <c r="D105" s="4" t="s">
        <v>18</v>
      </c>
      <c r="E105" s="11">
        <f>SUM(F105:H105)</f>
        <v>62175.83</v>
      </c>
      <c r="F105" s="11">
        <f>41240.72+1998.78</f>
        <v>43239.5</v>
      </c>
      <c r="G105" s="58">
        <f>4001.99</f>
        <v>4001.99</v>
      </c>
      <c r="H105" s="59">
        <v>14934.34</v>
      </c>
      <c r="I105" s="72">
        <f>41240.72-1577.47</f>
        <v>39663.25</v>
      </c>
      <c r="J105" s="61">
        <v>3435.98</v>
      </c>
      <c r="K105" s="61">
        <v>600.9</v>
      </c>
      <c r="L105" s="62" t="s">
        <v>85</v>
      </c>
      <c r="M105" s="62"/>
      <c r="N105" s="62"/>
    </row>
    <row r="106" spans="1:19" ht="99.6" customHeight="1">
      <c r="A106" s="84"/>
      <c r="B106" s="12" t="s">
        <v>19</v>
      </c>
      <c r="C106" s="12"/>
      <c r="D106" s="4" t="s">
        <v>20</v>
      </c>
      <c r="E106" s="11" t="s">
        <v>124</v>
      </c>
      <c r="F106" s="11" t="s">
        <v>116</v>
      </c>
      <c r="G106" s="11" t="s">
        <v>104</v>
      </c>
      <c r="H106" s="39" t="s">
        <v>144</v>
      </c>
      <c r="I106" s="15" t="s">
        <v>117</v>
      </c>
      <c r="J106" s="39" t="s">
        <v>145</v>
      </c>
      <c r="K106" s="39" t="s">
        <v>146</v>
      </c>
      <c r="L106" s="62" t="s">
        <v>86</v>
      </c>
      <c r="M106" s="62"/>
      <c r="N106" s="62"/>
      <c r="P106" s="7">
        <v>1998.78</v>
      </c>
      <c r="Q106" s="7">
        <v>4001.99</v>
      </c>
      <c r="R106" s="7">
        <v>45178.25</v>
      </c>
      <c r="S106" s="9">
        <f>P106+Q106+R106</f>
        <v>51179.02</v>
      </c>
    </row>
    <row r="107" spans="1:19" ht="132" customHeight="1">
      <c r="A107" s="84"/>
      <c r="B107" s="12" t="s">
        <v>21</v>
      </c>
      <c r="C107" s="12"/>
      <c r="D107" s="4" t="s">
        <v>20</v>
      </c>
      <c r="E107" s="11" t="s">
        <v>125</v>
      </c>
      <c r="F107" s="11" t="s">
        <v>118</v>
      </c>
      <c r="G107" s="11" t="s">
        <v>104</v>
      </c>
      <c r="H107" s="39" t="s">
        <v>144</v>
      </c>
      <c r="I107" s="15" t="s">
        <v>119</v>
      </c>
      <c r="J107" s="39" t="s">
        <v>145</v>
      </c>
      <c r="K107" s="39" t="s">
        <v>146</v>
      </c>
      <c r="R107" s="7">
        <f>1998.78+4001.99+45178.25</f>
        <v>51179.02</v>
      </c>
    </row>
    <row r="108" spans="1:19" ht="75" customHeight="1">
      <c r="A108" s="84"/>
      <c r="B108" s="5" t="s">
        <v>43</v>
      </c>
      <c r="C108" s="5"/>
      <c r="D108" s="6" t="s">
        <v>18</v>
      </c>
      <c r="E108" s="58" t="s">
        <v>23</v>
      </c>
      <c r="F108" s="58" t="s">
        <v>23</v>
      </c>
      <c r="G108" s="58" t="s">
        <v>23</v>
      </c>
      <c r="H108" s="59" t="s">
        <v>23</v>
      </c>
      <c r="I108" s="58" t="s">
        <v>23</v>
      </c>
      <c r="J108" s="59" t="s">
        <v>23</v>
      </c>
      <c r="K108" s="59" t="s">
        <v>23</v>
      </c>
    </row>
    <row r="109" spans="1:19" ht="16.95" customHeight="1">
      <c r="A109" s="84"/>
      <c r="B109" s="5" t="s">
        <v>37</v>
      </c>
      <c r="C109" s="5"/>
      <c r="D109" s="6" t="s">
        <v>18</v>
      </c>
      <c r="E109" s="58">
        <f>F109</f>
        <v>92591.35</v>
      </c>
      <c r="F109" s="58">
        <v>92591.35</v>
      </c>
      <c r="G109" s="58" t="s">
        <v>23</v>
      </c>
      <c r="H109" s="59" t="s">
        <v>23</v>
      </c>
      <c r="I109" s="58">
        <f>F109-1386.66</f>
        <v>91204.69</v>
      </c>
      <c r="J109" s="59" t="s">
        <v>23</v>
      </c>
      <c r="K109" s="59" t="s">
        <v>23</v>
      </c>
    </row>
    <row r="110" spans="1:19" ht="16.95" customHeight="1">
      <c r="A110" s="84"/>
      <c r="B110" s="5" t="s">
        <v>38</v>
      </c>
      <c r="C110" s="5"/>
      <c r="D110" s="6" t="s">
        <v>18</v>
      </c>
      <c r="E110" s="58">
        <f t="shared" ref="E110:E112" si="13">F110</f>
        <v>112171.32</v>
      </c>
      <c r="F110" s="58">
        <v>112171.32</v>
      </c>
      <c r="G110" s="58" t="s">
        <v>23</v>
      </c>
      <c r="H110" s="59" t="s">
        <v>23</v>
      </c>
      <c r="I110" s="58">
        <f t="shared" ref="I110:I112" si="14">F110-1386.66</f>
        <v>110784.66</v>
      </c>
      <c r="J110" s="59" t="s">
        <v>23</v>
      </c>
      <c r="K110" s="59" t="s">
        <v>23</v>
      </c>
    </row>
    <row r="111" spans="1:19" ht="16.95" customHeight="1">
      <c r="A111" s="84"/>
      <c r="B111" s="5" t="s">
        <v>39</v>
      </c>
      <c r="C111" s="5"/>
      <c r="D111" s="6" t="s">
        <v>18</v>
      </c>
      <c r="E111" s="58">
        <f t="shared" si="13"/>
        <v>23678.79</v>
      </c>
      <c r="F111" s="58">
        <v>23678.79</v>
      </c>
      <c r="G111" s="58" t="s">
        <v>23</v>
      </c>
      <c r="H111" s="59" t="s">
        <v>23</v>
      </c>
      <c r="I111" s="58">
        <f t="shared" si="14"/>
        <v>22292.13</v>
      </c>
      <c r="J111" s="59" t="s">
        <v>23</v>
      </c>
      <c r="K111" s="59" t="s">
        <v>23</v>
      </c>
    </row>
    <row r="112" spans="1:19" ht="16.95" customHeight="1">
      <c r="A112" s="84"/>
      <c r="B112" s="5" t="s">
        <v>40</v>
      </c>
      <c r="C112" s="5"/>
      <c r="D112" s="6" t="s">
        <v>18</v>
      </c>
      <c r="E112" s="58">
        <f t="shared" si="13"/>
        <v>28464.5</v>
      </c>
      <c r="F112" s="58">
        <v>28464.5</v>
      </c>
      <c r="G112" s="58" t="s">
        <v>23</v>
      </c>
      <c r="H112" s="59" t="s">
        <v>23</v>
      </c>
      <c r="I112" s="58">
        <f t="shared" si="14"/>
        <v>27077.84</v>
      </c>
      <c r="J112" s="59" t="s">
        <v>23</v>
      </c>
      <c r="K112" s="59" t="s">
        <v>23</v>
      </c>
    </row>
    <row r="113" spans="1:44" ht="63" customHeight="1">
      <c r="A113" s="84"/>
      <c r="B113" s="12" t="s">
        <v>34</v>
      </c>
      <c r="C113" s="12"/>
      <c r="D113" s="6" t="s">
        <v>18</v>
      </c>
      <c r="E113" s="58">
        <f>SUM(F113:H113)</f>
        <v>187479.62999999998</v>
      </c>
      <c r="F113" s="58">
        <f>181478.86+1998.78</f>
        <v>183477.63999999998</v>
      </c>
      <c r="G113" s="58">
        <f>4001.99</f>
        <v>4001.99</v>
      </c>
      <c r="H113" s="59" t="s">
        <v>23</v>
      </c>
      <c r="I113" s="58">
        <f>181478.86-1577.47</f>
        <v>179901.38999999998</v>
      </c>
      <c r="J113" s="59" t="s">
        <v>23</v>
      </c>
      <c r="K113" s="59" t="s">
        <v>23</v>
      </c>
    </row>
    <row r="114" spans="1:44" ht="63" customHeight="1">
      <c r="A114" s="84"/>
      <c r="B114" s="12" t="s">
        <v>42</v>
      </c>
      <c r="C114" s="12"/>
      <c r="D114" s="6" t="s">
        <v>18</v>
      </c>
      <c r="E114" s="58">
        <f>SUM(F114:H114)</f>
        <v>276950.03000000003</v>
      </c>
      <c r="F114" s="58">
        <f>270949.26+1998.78</f>
        <v>272948.04000000004</v>
      </c>
      <c r="G114" s="58">
        <f>4001.99</f>
        <v>4001.99</v>
      </c>
      <c r="H114" s="59" t="s">
        <v>23</v>
      </c>
      <c r="I114" s="58">
        <f>270949.26-1577.47</f>
        <v>269371.79000000004</v>
      </c>
      <c r="J114" s="59" t="s">
        <v>23</v>
      </c>
      <c r="K114" s="59" t="s">
        <v>23</v>
      </c>
    </row>
    <row r="115" spans="1:44" ht="62.4" customHeight="1">
      <c r="A115" s="84"/>
      <c r="B115" s="12" t="s">
        <v>35</v>
      </c>
      <c r="C115" s="12"/>
      <c r="D115" s="6" t="s">
        <v>18</v>
      </c>
      <c r="E115" s="58">
        <f>F115</f>
        <v>35792.74</v>
      </c>
      <c r="F115" s="58">
        <f>35792.74</f>
        <v>35792.74</v>
      </c>
      <c r="G115" s="58" t="s">
        <v>23</v>
      </c>
      <c r="H115" s="59" t="s">
        <v>23</v>
      </c>
      <c r="I115" s="58">
        <f>E115</f>
        <v>35792.74</v>
      </c>
      <c r="J115" s="59" t="s">
        <v>23</v>
      </c>
      <c r="K115" s="59" t="s">
        <v>23</v>
      </c>
    </row>
    <row r="116" spans="1:44" ht="60.6" customHeight="1">
      <c r="A116" s="84"/>
      <c r="B116" s="12" t="s">
        <v>36</v>
      </c>
      <c r="C116" s="12"/>
      <c r="D116" s="6" t="s">
        <v>18</v>
      </c>
      <c r="E116" s="58">
        <f>F116</f>
        <v>43225.73</v>
      </c>
      <c r="F116" s="58">
        <v>43225.73</v>
      </c>
      <c r="G116" s="58" t="s">
        <v>23</v>
      </c>
      <c r="H116" s="59" t="s">
        <v>23</v>
      </c>
      <c r="I116" s="58">
        <f>E116</f>
        <v>43225.73</v>
      </c>
      <c r="J116" s="59" t="s">
        <v>23</v>
      </c>
      <c r="K116" s="59" t="s">
        <v>23</v>
      </c>
    </row>
    <row r="117" spans="1:44" ht="74.400000000000006" customHeight="1">
      <c r="A117" s="85"/>
      <c r="B117" s="12" t="s">
        <v>120</v>
      </c>
      <c r="C117" s="12"/>
      <c r="D117" s="6" t="s">
        <v>18</v>
      </c>
      <c r="E117" s="58">
        <f>F117+G117</f>
        <v>38383.49</v>
      </c>
      <c r="F117" s="58">
        <f>32382.72+1998.78</f>
        <v>34381.5</v>
      </c>
      <c r="G117" s="11">
        <f>4001.99</f>
        <v>4001.99</v>
      </c>
      <c r="H117" s="59" t="s">
        <v>23</v>
      </c>
      <c r="I117" s="58">
        <f>32382.72-719.92</f>
        <v>31662.800000000003</v>
      </c>
      <c r="J117" s="59" t="s">
        <v>23</v>
      </c>
      <c r="K117" s="59" t="s">
        <v>23</v>
      </c>
    </row>
    <row r="118" spans="1:44" ht="79.2" customHeight="1">
      <c r="A118" s="86" t="s">
        <v>76</v>
      </c>
      <c r="B118" s="12" t="s">
        <v>61</v>
      </c>
      <c r="C118" s="12"/>
      <c r="D118" s="6" t="s">
        <v>18</v>
      </c>
      <c r="E118" s="58">
        <f>F118</f>
        <v>3978.73</v>
      </c>
      <c r="F118" s="58">
        <v>3978.73</v>
      </c>
      <c r="G118" s="58" t="s">
        <v>23</v>
      </c>
      <c r="H118" s="59" t="s">
        <v>23</v>
      </c>
      <c r="I118" s="58">
        <f>F118</f>
        <v>3978.73</v>
      </c>
      <c r="J118" s="59" t="s">
        <v>23</v>
      </c>
      <c r="K118" s="59" t="s">
        <v>23</v>
      </c>
    </row>
    <row r="119" spans="1:44" ht="82.2" customHeight="1">
      <c r="A119" s="87"/>
      <c r="B119" s="12" t="s">
        <v>62</v>
      </c>
      <c r="C119" s="12"/>
      <c r="D119" s="6" t="s">
        <v>18</v>
      </c>
      <c r="E119" s="58">
        <f>F119</f>
        <v>4982.75</v>
      </c>
      <c r="F119" s="58">
        <v>4982.75</v>
      </c>
      <c r="G119" s="58" t="s">
        <v>23</v>
      </c>
      <c r="H119" s="59" t="s">
        <v>23</v>
      </c>
      <c r="I119" s="58">
        <f>F119</f>
        <v>4982.75</v>
      </c>
      <c r="J119" s="59" t="s">
        <v>23</v>
      </c>
      <c r="K119" s="59" t="s">
        <v>23</v>
      </c>
    </row>
    <row r="120" spans="1:44" ht="84.6" customHeight="1">
      <c r="A120" s="88"/>
      <c r="B120" s="12" t="s">
        <v>80</v>
      </c>
      <c r="C120" s="12"/>
      <c r="D120" s="6" t="s">
        <v>18</v>
      </c>
      <c r="E120" s="58" t="s">
        <v>23</v>
      </c>
      <c r="F120" s="58" t="s">
        <v>23</v>
      </c>
      <c r="G120" s="58" t="s">
        <v>23</v>
      </c>
      <c r="H120" s="39">
        <v>5421.31</v>
      </c>
      <c r="I120" s="58" t="s">
        <v>23</v>
      </c>
      <c r="J120" s="59" t="s">
        <v>23</v>
      </c>
      <c r="K120" s="59" t="s">
        <v>23</v>
      </c>
      <c r="L120" s="62" t="s">
        <v>85</v>
      </c>
      <c r="M120" s="62"/>
      <c r="N120" s="62"/>
    </row>
    <row r="121" spans="1:44" ht="26.4" customHeight="1">
      <c r="A121" s="18"/>
      <c r="B121" s="19"/>
      <c r="C121" s="19"/>
      <c r="D121" s="20"/>
      <c r="E121" s="21"/>
      <c r="F121" s="21"/>
      <c r="G121" s="21"/>
      <c r="H121" s="25"/>
      <c r="I121" s="21"/>
      <c r="J121" s="25"/>
      <c r="K121" s="25"/>
    </row>
    <row r="122" spans="1:44" ht="30" customHeight="1">
      <c r="A122" s="73" t="s">
        <v>29</v>
      </c>
      <c r="B122" s="74"/>
      <c r="C122" s="74"/>
      <c r="D122" s="74"/>
      <c r="E122" s="74"/>
      <c r="F122" s="74"/>
      <c r="G122" s="74"/>
      <c r="H122" s="75"/>
      <c r="I122" s="74"/>
      <c r="J122" s="75"/>
      <c r="K122" s="75"/>
    </row>
    <row r="123" spans="1:44" ht="99" customHeight="1">
      <c r="A123" s="17" t="s">
        <v>3</v>
      </c>
      <c r="B123" s="17" t="s">
        <v>26</v>
      </c>
      <c r="C123" s="17"/>
      <c r="D123" s="17" t="s">
        <v>16</v>
      </c>
      <c r="E123" s="17" t="s">
        <v>4</v>
      </c>
      <c r="F123" s="17" t="s">
        <v>5</v>
      </c>
      <c r="G123" s="17" t="s">
        <v>0</v>
      </c>
      <c r="H123" s="17" t="s">
        <v>32</v>
      </c>
      <c r="I123" s="17" t="s">
        <v>6</v>
      </c>
      <c r="J123" s="24" t="s">
        <v>7</v>
      </c>
      <c r="K123" s="24" t="s">
        <v>1</v>
      </c>
      <c r="Y123" s="95" t="s">
        <v>150</v>
      </c>
      <c r="Z123" s="112" t="s">
        <v>151</v>
      </c>
      <c r="AA123" s="96" t="s">
        <v>152</v>
      </c>
      <c r="AB123" s="97" t="s">
        <v>153</v>
      </c>
      <c r="AC123" s="97" t="s">
        <v>154</v>
      </c>
      <c r="AD123" s="96" t="s">
        <v>155</v>
      </c>
      <c r="AE123" s="96" t="s">
        <v>156</v>
      </c>
      <c r="AF123" s="98" t="s">
        <v>157</v>
      </c>
      <c r="AG123" s="133" t="s">
        <v>158</v>
      </c>
      <c r="AH123" s="99" t="s">
        <v>159</v>
      </c>
      <c r="AI123" s="100" t="s">
        <v>160</v>
      </c>
      <c r="AJ123" s="100" t="s">
        <v>161</v>
      </c>
      <c r="AK123" s="101" t="s">
        <v>162</v>
      </c>
      <c r="AL123" s="101" t="s">
        <v>161</v>
      </c>
      <c r="AM123" s="102" t="s">
        <v>163</v>
      </c>
    </row>
    <row r="124" spans="1:44" ht="21.6" customHeight="1">
      <c r="A124" s="81" t="s">
        <v>8</v>
      </c>
      <c r="B124" s="81"/>
      <c r="C124" s="81"/>
      <c r="D124" s="81"/>
      <c r="E124" s="69" t="s">
        <v>9</v>
      </c>
      <c r="F124" s="57" t="s">
        <v>9</v>
      </c>
      <c r="G124" s="57" t="s">
        <v>9</v>
      </c>
      <c r="H124" s="57" t="s">
        <v>9</v>
      </c>
      <c r="I124" s="69" t="s">
        <v>9</v>
      </c>
      <c r="J124" s="57" t="s">
        <v>9</v>
      </c>
      <c r="K124" s="57" t="s">
        <v>9</v>
      </c>
      <c r="Y124" s="103"/>
      <c r="Z124" s="103"/>
      <c r="AA124" s="103"/>
      <c r="AB124" s="103"/>
      <c r="AC124" s="103"/>
      <c r="AD124" s="103"/>
      <c r="AE124" s="103"/>
      <c r="AF124" s="103"/>
      <c r="AG124" s="103"/>
      <c r="AH124" s="103"/>
      <c r="AI124" s="103"/>
      <c r="AJ124" s="103"/>
      <c r="AK124" s="103"/>
      <c r="AL124" s="103"/>
      <c r="AM124" s="127" t="s">
        <v>164</v>
      </c>
    </row>
    <row r="125" spans="1:44" ht="42" customHeight="1">
      <c r="A125" s="53" t="s">
        <v>132</v>
      </c>
      <c r="B125" s="53" t="s">
        <v>27</v>
      </c>
      <c r="C125" s="53"/>
      <c r="D125" s="38" t="s">
        <v>58</v>
      </c>
      <c r="E125" s="65">
        <f>'[1]ДОП ДДТ'!$I$11</f>
        <v>220.83825601851854</v>
      </c>
      <c r="F125" s="66" t="s">
        <v>148</v>
      </c>
      <c r="G125" s="66" t="s">
        <v>148</v>
      </c>
      <c r="H125" s="66" t="s">
        <v>148</v>
      </c>
      <c r="I125" s="65">
        <f>122.18+8.462+13.38</f>
        <v>144.02199999999999</v>
      </c>
      <c r="J125" s="66">
        <v>16.89</v>
      </c>
      <c r="K125" s="66">
        <v>1.24</v>
      </c>
      <c r="Y125" s="118">
        <f>211.4-12.4</f>
        <v>199</v>
      </c>
      <c r="Z125" s="129">
        <f>134.58-12.4</f>
        <v>122.18</v>
      </c>
      <c r="AA125" s="123">
        <v>11.78</v>
      </c>
      <c r="AB125" s="130">
        <v>16.89</v>
      </c>
      <c r="AC125" s="130">
        <v>1.24</v>
      </c>
      <c r="AD125" s="123">
        <v>0.247</v>
      </c>
      <c r="AE125" s="123">
        <f>43.26-1.31</f>
        <v>41.949999999999996</v>
      </c>
      <c r="AF125" s="123">
        <f>4.68+0.031</f>
        <v>4.7109999999999994</v>
      </c>
      <c r="AG125" s="132">
        <f>AA125+AD125+AE125+AF125</f>
        <v>58.687999999999995</v>
      </c>
      <c r="AH125" s="126">
        <v>207.46</v>
      </c>
      <c r="AI125" s="124">
        <f>AH125-AB125-AC125-AG125</f>
        <v>130.642</v>
      </c>
      <c r="AJ125" s="125">
        <f>AI125-122.18</f>
        <v>8.4619999999999891</v>
      </c>
      <c r="AK125" s="124">
        <f>AM125-AB125-AC125-AG125</f>
        <v>144.02199999999999</v>
      </c>
      <c r="AL125" s="125">
        <f>AK125-AI125</f>
        <v>13.379999999999995</v>
      </c>
      <c r="AM125" s="128">
        <v>220.84</v>
      </c>
      <c r="AN125" s="116"/>
      <c r="AO125" s="116"/>
      <c r="AP125" s="116"/>
      <c r="AQ125" s="116"/>
      <c r="AR125" s="116"/>
    </row>
    <row r="126" spans="1:44" ht="42" customHeight="1">
      <c r="A126" s="13" t="s">
        <v>65</v>
      </c>
      <c r="B126" s="13" t="s">
        <v>27</v>
      </c>
      <c r="C126" s="13"/>
      <c r="D126" s="17" t="s">
        <v>58</v>
      </c>
      <c r="E126" s="65">
        <f>'[1]ДОП ДДТ'!$I$12</f>
        <v>228.6278497706422</v>
      </c>
      <c r="F126" s="66" t="s">
        <v>148</v>
      </c>
      <c r="G126" s="66" t="s">
        <v>148</v>
      </c>
      <c r="H126" s="66" t="s">
        <v>148</v>
      </c>
      <c r="I126" s="15">
        <f>127.13+11.64+18.41</f>
        <v>157.17999999999998</v>
      </c>
      <c r="J126" s="45">
        <v>11.821999999999999</v>
      </c>
      <c r="K126" s="45">
        <v>0.86699999999999999</v>
      </c>
      <c r="Y126" s="119">
        <f>205.68-7.1</f>
        <v>198.58</v>
      </c>
      <c r="Z126" s="130">
        <v>127.13</v>
      </c>
      <c r="AA126" s="123">
        <v>6.53</v>
      </c>
      <c r="AB126" s="131">
        <v>11.824</v>
      </c>
      <c r="AC126" s="131">
        <v>0.86699999999999999</v>
      </c>
      <c r="AD126" s="123">
        <v>0.17299999999999999</v>
      </c>
      <c r="AE126" s="123">
        <f>55.97-5.93</f>
        <v>50.04</v>
      </c>
      <c r="AF126" s="123">
        <f>1.998+0.021</f>
        <v>2.0190000000000001</v>
      </c>
      <c r="AG126" s="132">
        <f>AA126+AD126+AE126+AF126</f>
        <v>58.762</v>
      </c>
      <c r="AH126" s="126">
        <v>210.22</v>
      </c>
      <c r="AI126" s="124">
        <f t="shared" ref="AI126:AI130" si="15">AH126-AB126-AC126-AG126</f>
        <v>138.767</v>
      </c>
      <c r="AJ126" s="124">
        <f>AI126-127.13</f>
        <v>11.637</v>
      </c>
      <c r="AK126" s="124">
        <f t="shared" ref="AK126:AK130" si="16">AM126-AB126-AC126-AG126</f>
        <v>157.17699999999999</v>
      </c>
      <c r="AL126" s="125">
        <f>AK126-AI126</f>
        <v>18.409999999999997</v>
      </c>
      <c r="AM126" s="128">
        <v>228.63</v>
      </c>
      <c r="AN126" s="116"/>
      <c r="AO126" s="116"/>
      <c r="AP126" s="116"/>
      <c r="AQ126" s="116"/>
      <c r="AR126" s="116"/>
    </row>
    <row r="127" spans="1:44" ht="47.4" customHeight="1">
      <c r="A127" s="13" t="s">
        <v>66</v>
      </c>
      <c r="B127" s="13" t="s">
        <v>27</v>
      </c>
      <c r="C127" s="13"/>
      <c r="D127" s="17" t="s">
        <v>58</v>
      </c>
      <c r="E127" s="65">
        <f>'[1]ДОП ДДТ'!$I$13</f>
        <v>264.71476805555557</v>
      </c>
      <c r="F127" s="66" t="s">
        <v>148</v>
      </c>
      <c r="G127" s="66" t="s">
        <v>148</v>
      </c>
      <c r="H127" s="66" t="s">
        <v>148</v>
      </c>
      <c r="I127" s="15">
        <f>106.47+25.4+40.12</f>
        <v>171.99</v>
      </c>
      <c r="J127" s="39">
        <v>10.7</v>
      </c>
      <c r="K127" s="45">
        <v>0.78</v>
      </c>
      <c r="Y127" s="119">
        <f>202.73-3.53</f>
        <v>199.2</v>
      </c>
      <c r="Z127" s="130">
        <v>106.47</v>
      </c>
      <c r="AA127" s="123">
        <v>29.44</v>
      </c>
      <c r="AB127" s="130">
        <v>10.7</v>
      </c>
      <c r="AC127" s="131">
        <v>0.78</v>
      </c>
      <c r="AD127" s="123">
        <v>0.156</v>
      </c>
      <c r="AE127" s="123">
        <f>53.4-3.52</f>
        <v>49.879999999999995</v>
      </c>
      <c r="AF127" s="123">
        <f>1.75+0.019</f>
        <v>1.7689999999999999</v>
      </c>
      <c r="AG127" s="132">
        <f>AA127+AD127+AE127+AF127</f>
        <v>81.245000000000005</v>
      </c>
      <c r="AH127" s="126">
        <v>224.59</v>
      </c>
      <c r="AI127" s="124">
        <f t="shared" si="15"/>
        <v>131.86500000000001</v>
      </c>
      <c r="AJ127" s="124">
        <f>AI127-106.47</f>
        <v>25.39500000000001</v>
      </c>
      <c r="AK127" s="124">
        <f t="shared" si="16"/>
        <v>171.98499999999999</v>
      </c>
      <c r="AL127" s="125">
        <f>AK127-AI127</f>
        <v>40.119999999999976</v>
      </c>
      <c r="AM127" s="128">
        <v>264.70999999999998</v>
      </c>
      <c r="AN127" s="116"/>
      <c r="AO127" s="116"/>
      <c r="AP127" s="116"/>
      <c r="AQ127" s="116"/>
      <c r="AR127" s="116"/>
    </row>
    <row r="128" spans="1:44" ht="51" customHeight="1">
      <c r="A128" s="13" t="s">
        <v>67</v>
      </c>
      <c r="B128" s="13" t="s">
        <v>27</v>
      </c>
      <c r="C128" s="13"/>
      <c r="D128" s="17" t="s">
        <v>58</v>
      </c>
      <c r="E128" s="65">
        <f>'[1]ДОП ДДТ'!$I$14</f>
        <v>237.26809885620918</v>
      </c>
      <c r="F128" s="66" t="s">
        <v>148</v>
      </c>
      <c r="G128" s="66" t="s">
        <v>148</v>
      </c>
      <c r="H128" s="66" t="s">
        <v>148</v>
      </c>
      <c r="I128" s="15">
        <f>120.68+14.93+23.61</f>
        <v>159.22000000000003</v>
      </c>
      <c r="J128" s="39">
        <v>12.38</v>
      </c>
      <c r="K128" s="45">
        <v>0.90800000000000003</v>
      </c>
      <c r="Y128" s="119">
        <f>200.98-2.25</f>
        <v>198.73</v>
      </c>
      <c r="Z128" s="130">
        <v>120.68</v>
      </c>
      <c r="AA128" s="123">
        <v>4.49</v>
      </c>
      <c r="AB128" s="130">
        <v>12.38</v>
      </c>
      <c r="AC128" s="131">
        <v>0.90800000000000003</v>
      </c>
      <c r="AD128" s="123">
        <v>0.18</v>
      </c>
      <c r="AE128" s="123">
        <f>60.25-3.13</f>
        <v>57.12</v>
      </c>
      <c r="AF128" s="123">
        <f>2.06+0.91</f>
        <v>2.97</v>
      </c>
      <c r="AG128" s="132">
        <f>AA128+AD128+AE128+AF128</f>
        <v>64.760000000000005</v>
      </c>
      <c r="AH128" s="126">
        <v>213.66</v>
      </c>
      <c r="AI128" s="124">
        <f t="shared" si="15"/>
        <v>135.61200000000002</v>
      </c>
      <c r="AJ128" s="124">
        <f>AI128-120.68</f>
        <v>14.932000000000016</v>
      </c>
      <c r="AK128" s="124">
        <f t="shared" si="16"/>
        <v>159.22200000000004</v>
      </c>
      <c r="AL128" s="125">
        <f t="shared" ref="AL128:AL130" si="17">AK128-AI128</f>
        <v>23.610000000000014</v>
      </c>
      <c r="AM128" s="128">
        <v>237.27</v>
      </c>
      <c r="AN128" s="116"/>
      <c r="AO128" s="116"/>
      <c r="AP128" s="116"/>
      <c r="AQ128" s="116"/>
      <c r="AR128" s="116"/>
    </row>
    <row r="129" spans="1:44" ht="55.2" customHeight="1">
      <c r="A129" s="13" t="s">
        <v>68</v>
      </c>
      <c r="B129" s="13" t="s">
        <v>27</v>
      </c>
      <c r="C129" s="13"/>
      <c r="D129" s="17" t="s">
        <v>58</v>
      </c>
      <c r="E129" s="65">
        <f>'[1]ДОП ДДТ'!$I$15</f>
        <v>211.92114117586596</v>
      </c>
      <c r="F129" s="66" t="s">
        <v>148</v>
      </c>
      <c r="G129" s="66" t="s">
        <v>148</v>
      </c>
      <c r="H129" s="66" t="s">
        <v>148</v>
      </c>
      <c r="I129" s="15">
        <f>122+4.7+7.42</f>
        <v>134.12</v>
      </c>
      <c r="J129" s="39">
        <v>16.04</v>
      </c>
      <c r="K129" s="39">
        <v>1.18</v>
      </c>
      <c r="Y129" s="119">
        <f>220.3-20.5</f>
        <v>199.8</v>
      </c>
      <c r="Z129" s="130">
        <v>122</v>
      </c>
      <c r="AA129" s="123">
        <v>6.57</v>
      </c>
      <c r="AB129" s="130">
        <v>16.04</v>
      </c>
      <c r="AC129" s="130">
        <v>1.18</v>
      </c>
      <c r="AD129" s="123">
        <v>0.23</v>
      </c>
      <c r="AE129" s="123">
        <f>53.17-2.04</f>
        <v>51.13</v>
      </c>
      <c r="AF129" s="123">
        <f>2.62+0.03</f>
        <v>2.65</v>
      </c>
      <c r="AG129" s="132">
        <f>AA129+AD129+AE129+AF129</f>
        <v>60.580000000000005</v>
      </c>
      <c r="AH129" s="126">
        <v>204.5</v>
      </c>
      <c r="AI129" s="124">
        <f t="shared" si="15"/>
        <v>126.69999999999999</v>
      </c>
      <c r="AJ129" s="124">
        <f>AI129-122</f>
        <v>4.6999999999999886</v>
      </c>
      <c r="AK129" s="124">
        <f t="shared" si="16"/>
        <v>134.11999999999998</v>
      </c>
      <c r="AL129" s="125">
        <f t="shared" si="17"/>
        <v>7.4199999999999875</v>
      </c>
      <c r="AM129" s="128">
        <v>211.92</v>
      </c>
      <c r="AN129" s="116"/>
      <c r="AO129" s="116"/>
      <c r="AP129" s="116"/>
      <c r="AQ129" s="116"/>
      <c r="AR129" s="116"/>
    </row>
    <row r="130" spans="1:44" ht="42" customHeight="1">
      <c r="A130" s="13" t="s">
        <v>71</v>
      </c>
      <c r="B130" s="13" t="s">
        <v>27</v>
      </c>
      <c r="C130" s="13"/>
      <c r="D130" s="17" t="s">
        <v>58</v>
      </c>
      <c r="E130" s="65">
        <f>'[1]ДОП ДДТ'!$I$16</f>
        <v>218.80262944983818</v>
      </c>
      <c r="F130" s="66" t="s">
        <v>148</v>
      </c>
      <c r="G130" s="66" t="s">
        <v>148</v>
      </c>
      <c r="H130" s="66" t="s">
        <v>148</v>
      </c>
      <c r="I130" s="15">
        <f>133.4+9.86+15.58</f>
        <v>158.84</v>
      </c>
      <c r="J130" s="39">
        <v>16.89</v>
      </c>
      <c r="K130" s="39">
        <v>1.24</v>
      </c>
      <c r="Y130" s="119">
        <f>200-6.64</f>
        <v>193.36</v>
      </c>
      <c r="Z130" s="130">
        <v>133.4</v>
      </c>
      <c r="AA130" s="123">
        <v>3.78</v>
      </c>
      <c r="AB130" s="130">
        <v>16.89</v>
      </c>
      <c r="AC130" s="130">
        <v>1.24</v>
      </c>
      <c r="AD130" s="123">
        <v>0.8</v>
      </c>
      <c r="AE130" s="123">
        <v>34.340000000000003</v>
      </c>
      <c r="AF130" s="123">
        <f>2.88+0.03</f>
        <v>2.9099999999999997</v>
      </c>
      <c r="AG130" s="132">
        <f>AA130+AD130+AE130+AF130</f>
        <v>41.83</v>
      </c>
      <c r="AH130" s="126">
        <v>203.22</v>
      </c>
      <c r="AI130" s="124">
        <f t="shared" si="15"/>
        <v>143.26</v>
      </c>
      <c r="AJ130" s="124">
        <f>AI130-133.4</f>
        <v>9.8599999999999852</v>
      </c>
      <c r="AK130" s="124">
        <f t="shared" si="16"/>
        <v>158.84000000000003</v>
      </c>
      <c r="AL130" s="125">
        <f t="shared" si="17"/>
        <v>15.580000000000041</v>
      </c>
      <c r="AM130" s="128">
        <v>218.8</v>
      </c>
      <c r="AN130" s="116"/>
      <c r="AO130" s="116"/>
      <c r="AP130" s="116"/>
      <c r="AQ130" s="116"/>
      <c r="AR130" s="116"/>
    </row>
    <row r="131" spans="1:44" ht="42" customHeight="1">
      <c r="A131" s="13" t="s">
        <v>69</v>
      </c>
      <c r="B131" s="13" t="s">
        <v>27</v>
      </c>
      <c r="C131" s="13"/>
      <c r="D131" s="13" t="s">
        <v>64</v>
      </c>
      <c r="E131" s="15">
        <f>193684.71-77391.09</f>
        <v>116293.62</v>
      </c>
      <c r="F131" s="66" t="s">
        <v>148</v>
      </c>
      <c r="G131" s="66" t="s">
        <v>148</v>
      </c>
      <c r="H131" s="66" t="s">
        <v>148</v>
      </c>
      <c r="I131" s="15">
        <f>85360.95-56907.3</f>
        <v>28453.649999999994</v>
      </c>
      <c r="J131" s="39">
        <f>39764.82-14693.2</f>
        <v>25071.62</v>
      </c>
      <c r="K131" s="39">
        <f>3987.86-2148.75</f>
        <v>1839.1100000000001</v>
      </c>
      <c r="X131" s="68"/>
      <c r="Y131" s="113">
        <f>193684.71-77391.09</f>
        <v>116293.62</v>
      </c>
      <c r="Z131" s="113">
        <f>85360.95-56907.3</f>
        <v>28453.649999999994</v>
      </c>
      <c r="AA131" s="120"/>
      <c r="AB131" s="121">
        <f>39764.82-14693.2</f>
        <v>25071.62</v>
      </c>
      <c r="AC131" s="121">
        <f>3987.86-2148.75</f>
        <v>1839.1100000000001</v>
      </c>
      <c r="AD131" s="122"/>
      <c r="AE131" s="122"/>
      <c r="AF131" s="122"/>
      <c r="AG131" s="74"/>
      <c r="AH131" s="74"/>
      <c r="AI131" s="116"/>
      <c r="AJ131" s="116"/>
      <c r="AK131" s="116"/>
      <c r="AL131" s="116"/>
      <c r="AM131" s="116"/>
      <c r="AN131" s="116"/>
      <c r="AO131" s="116"/>
      <c r="AP131" s="116"/>
      <c r="AQ131" s="116"/>
      <c r="AR131" s="116"/>
    </row>
    <row r="132" spans="1:44" ht="42" customHeight="1">
      <c r="A132" s="13" t="s">
        <v>70</v>
      </c>
      <c r="B132" s="13" t="s">
        <v>27</v>
      </c>
      <c r="C132" s="13"/>
      <c r="D132" s="13" t="s">
        <v>64</v>
      </c>
      <c r="E132" s="15">
        <f>1806231.18+607200.61</f>
        <v>2413431.79</v>
      </c>
      <c r="F132" s="66" t="s">
        <v>148</v>
      </c>
      <c r="G132" s="66" t="s">
        <v>148</v>
      </c>
      <c r="H132" s="66" t="s">
        <v>148</v>
      </c>
      <c r="I132" s="15">
        <v>1158246.98</v>
      </c>
      <c r="J132" s="39">
        <f>336208.68+541298.15</f>
        <v>877506.83000000007</v>
      </c>
      <c r="K132" s="39">
        <f>33717.09+30651.9</f>
        <v>64368.99</v>
      </c>
      <c r="X132" s="68"/>
      <c r="Y132" s="113">
        <f>1806231.18+607200.61</f>
        <v>2413431.79</v>
      </c>
      <c r="Z132" s="113">
        <v>1158246.98</v>
      </c>
      <c r="AA132" s="117"/>
      <c r="AB132" s="114">
        <f>336208.68+541298.15</f>
        <v>877506.83000000007</v>
      </c>
      <c r="AC132" s="114">
        <f>33717.09+30651.9</f>
        <v>64368.99</v>
      </c>
      <c r="AD132" s="115"/>
      <c r="AE132" s="115"/>
      <c r="AF132" s="115"/>
      <c r="AI132" s="116"/>
      <c r="AJ132" s="116"/>
      <c r="AK132" s="116"/>
      <c r="AL132" s="116"/>
      <c r="AM132" s="116"/>
      <c r="AN132" s="116"/>
      <c r="AO132" s="116"/>
      <c r="AP132" s="116"/>
      <c r="AQ132" s="116"/>
      <c r="AR132" s="116"/>
    </row>
    <row r="133" spans="1:44" ht="18.600000000000001" customHeight="1">
      <c r="F133" s="7"/>
      <c r="G133" s="7"/>
      <c r="H133" s="7"/>
      <c r="J133" s="7"/>
      <c r="K133" s="7"/>
    </row>
    <row r="134" spans="1:44">
      <c r="F134" s="7"/>
      <c r="G134" s="7"/>
    </row>
    <row r="135" spans="1:44">
      <c r="F135" s="7"/>
      <c r="G135" s="7"/>
    </row>
    <row r="136" spans="1:44" ht="15.6">
      <c r="A136" s="73" t="s">
        <v>126</v>
      </c>
      <c r="B136" s="74"/>
      <c r="C136" s="74"/>
      <c r="D136" s="74"/>
      <c r="E136" s="74"/>
      <c r="F136" s="74"/>
      <c r="G136" s="74"/>
      <c r="H136" s="75"/>
      <c r="I136" s="74"/>
      <c r="J136" s="75"/>
      <c r="K136" s="75"/>
    </row>
    <row r="137" spans="1:44" ht="98.4" customHeight="1">
      <c r="A137" s="17" t="s">
        <v>3</v>
      </c>
      <c r="B137" s="17" t="s">
        <v>26</v>
      </c>
      <c r="C137" s="17"/>
      <c r="D137" s="17" t="s">
        <v>16</v>
      </c>
      <c r="E137" s="17" t="s">
        <v>4</v>
      </c>
      <c r="F137" s="17" t="s">
        <v>5</v>
      </c>
      <c r="G137" s="17" t="s">
        <v>0</v>
      </c>
      <c r="H137" s="24" t="s">
        <v>32</v>
      </c>
      <c r="I137" s="17" t="s">
        <v>6</v>
      </c>
      <c r="J137" s="24" t="s">
        <v>7</v>
      </c>
      <c r="K137" s="24" t="s">
        <v>1</v>
      </c>
    </row>
    <row r="138" spans="1:44" ht="21.6" customHeight="1">
      <c r="A138" s="81" t="s">
        <v>8</v>
      </c>
      <c r="B138" s="81"/>
      <c r="C138" s="81"/>
      <c r="D138" s="81"/>
      <c r="E138" s="69" t="s">
        <v>9</v>
      </c>
      <c r="F138" s="57" t="s">
        <v>9</v>
      </c>
      <c r="G138" s="57" t="s">
        <v>9</v>
      </c>
      <c r="H138" s="57" t="s">
        <v>9</v>
      </c>
      <c r="I138" s="69" t="s">
        <v>9</v>
      </c>
      <c r="J138" s="57" t="s">
        <v>9</v>
      </c>
      <c r="K138" s="57" t="s">
        <v>9</v>
      </c>
    </row>
    <row r="139" spans="1:44" ht="60" customHeight="1">
      <c r="A139" s="53" t="s">
        <v>133</v>
      </c>
      <c r="B139" s="53" t="s">
        <v>27</v>
      </c>
      <c r="C139" s="53"/>
      <c r="D139" s="38" t="s">
        <v>58</v>
      </c>
      <c r="E139" s="65">
        <f>105.53+7.45</f>
        <v>112.98</v>
      </c>
      <c r="F139" s="66" t="s">
        <v>148</v>
      </c>
      <c r="G139" s="66" t="s">
        <v>148</v>
      </c>
      <c r="H139" s="66" t="s">
        <v>148</v>
      </c>
      <c r="I139" s="65">
        <v>134.58000000000001</v>
      </c>
      <c r="J139" s="66">
        <v>16.89</v>
      </c>
      <c r="K139" s="66">
        <v>1.24</v>
      </c>
    </row>
    <row r="140" spans="1:44" ht="57.6" customHeight="1">
      <c r="A140" s="13" t="s">
        <v>127</v>
      </c>
      <c r="B140" s="13" t="s">
        <v>27</v>
      </c>
      <c r="C140" s="13"/>
      <c r="D140" s="17" t="s">
        <v>58</v>
      </c>
      <c r="E140" s="15">
        <f>105.5+7.38</f>
        <v>112.88</v>
      </c>
      <c r="F140" s="66" t="s">
        <v>148</v>
      </c>
      <c r="G140" s="66" t="s">
        <v>148</v>
      </c>
      <c r="H140" s="66" t="s">
        <v>148</v>
      </c>
      <c r="I140" s="15">
        <v>127.13</v>
      </c>
      <c r="J140" s="45">
        <v>11.821999999999999</v>
      </c>
      <c r="K140" s="45">
        <v>0.86699999999999999</v>
      </c>
    </row>
    <row r="141" spans="1:44" ht="60" customHeight="1">
      <c r="A141" s="13" t="s">
        <v>128</v>
      </c>
      <c r="B141" s="13" t="s">
        <v>27</v>
      </c>
      <c r="C141" s="13"/>
      <c r="D141" s="17" t="s">
        <v>58</v>
      </c>
      <c r="E141" s="15">
        <f>104.06+8.87</f>
        <v>112.93</v>
      </c>
      <c r="F141" s="66" t="s">
        <v>148</v>
      </c>
      <c r="G141" s="66" t="s">
        <v>148</v>
      </c>
      <c r="H141" s="66" t="s">
        <v>148</v>
      </c>
      <c r="I141" s="15">
        <v>106.47</v>
      </c>
      <c r="J141" s="39">
        <v>10.7</v>
      </c>
      <c r="K141" s="45">
        <v>0.78</v>
      </c>
    </row>
    <row r="142" spans="1:44" ht="61.95" customHeight="1">
      <c r="A142" s="13" t="s">
        <v>129</v>
      </c>
      <c r="B142" s="13" t="s">
        <v>27</v>
      </c>
      <c r="C142" s="13"/>
      <c r="D142" s="17" t="s">
        <v>58</v>
      </c>
      <c r="E142" s="15">
        <f>105.05+7.93</f>
        <v>112.97999999999999</v>
      </c>
      <c r="F142" s="66" t="s">
        <v>148</v>
      </c>
      <c r="G142" s="66" t="s">
        <v>148</v>
      </c>
      <c r="H142" s="66" t="s">
        <v>148</v>
      </c>
      <c r="I142" s="15">
        <v>120.68</v>
      </c>
      <c r="J142" s="39">
        <v>12.38</v>
      </c>
      <c r="K142" s="45">
        <v>0.90800000000000003</v>
      </c>
    </row>
    <row r="143" spans="1:44" ht="59.4" customHeight="1">
      <c r="A143" s="13" t="s">
        <v>130</v>
      </c>
      <c r="B143" s="13" t="s">
        <v>27</v>
      </c>
      <c r="C143" s="13"/>
      <c r="D143" s="17" t="s">
        <v>58</v>
      </c>
      <c r="E143" s="15">
        <f>105.55+7.4</f>
        <v>112.95</v>
      </c>
      <c r="F143" s="66" t="s">
        <v>148</v>
      </c>
      <c r="G143" s="66" t="s">
        <v>148</v>
      </c>
      <c r="H143" s="66" t="s">
        <v>148</v>
      </c>
      <c r="I143" s="15">
        <v>122</v>
      </c>
      <c r="J143" s="39">
        <v>16.04</v>
      </c>
      <c r="K143" s="39">
        <v>1.18</v>
      </c>
    </row>
    <row r="144" spans="1:44" ht="71.400000000000006" customHeight="1">
      <c r="A144" s="13" t="s">
        <v>131</v>
      </c>
      <c r="B144" s="13" t="s">
        <v>27</v>
      </c>
      <c r="C144" s="13"/>
      <c r="D144" s="17" t="s">
        <v>58</v>
      </c>
      <c r="E144" s="15">
        <f>103+9.85</f>
        <v>112.85</v>
      </c>
      <c r="F144" s="66" t="s">
        <v>148</v>
      </c>
      <c r="G144" s="66" t="s">
        <v>148</v>
      </c>
      <c r="H144" s="66" t="s">
        <v>148</v>
      </c>
      <c r="I144" s="15">
        <v>133.4</v>
      </c>
      <c r="J144" s="39">
        <v>16.89</v>
      </c>
      <c r="K144" s="39">
        <v>1.24</v>
      </c>
    </row>
    <row r="145" spans="1:8" ht="13.8">
      <c r="F145" s="31"/>
      <c r="G145" s="32"/>
      <c r="H145" s="32"/>
    </row>
    <row r="146" spans="1:8">
      <c r="F146" s="7"/>
      <c r="G146" s="7"/>
    </row>
    <row r="147" spans="1:8">
      <c r="A147" s="7" t="s">
        <v>59</v>
      </c>
      <c r="F147" s="7"/>
      <c r="G147" s="7"/>
    </row>
    <row r="148" spans="1:8">
      <c r="F148" s="7"/>
      <c r="G148" s="7"/>
    </row>
    <row r="149" spans="1:8" ht="13.8">
      <c r="D149" s="33"/>
      <c r="F149" s="7"/>
      <c r="G149" s="7"/>
    </row>
    <row r="150" spans="1:8">
      <c r="F150" s="7"/>
      <c r="G150" s="7"/>
    </row>
    <row r="151" spans="1:8">
      <c r="F151" s="7"/>
      <c r="G151" s="7"/>
    </row>
    <row r="152" spans="1:8">
      <c r="F152" s="7"/>
      <c r="G152" s="7"/>
    </row>
    <row r="153" spans="1:8">
      <c r="F153" s="7"/>
      <c r="G153" s="7"/>
    </row>
    <row r="154" spans="1:8">
      <c r="F154" s="7"/>
      <c r="G154" s="7"/>
    </row>
    <row r="155" spans="1:8">
      <c r="F155" s="7"/>
      <c r="G155" s="7"/>
    </row>
    <row r="156" spans="1:8">
      <c r="F156" s="7"/>
      <c r="G156" s="7"/>
    </row>
    <row r="157" spans="1:8">
      <c r="F157" s="7"/>
      <c r="G157" s="7"/>
    </row>
    <row r="158" spans="1:8">
      <c r="F158" s="7"/>
      <c r="G158" s="7"/>
    </row>
    <row r="159" spans="1:8">
      <c r="F159" s="7"/>
      <c r="G159" s="7"/>
    </row>
    <row r="160" spans="1:8">
      <c r="F160" s="7"/>
      <c r="G160" s="7"/>
    </row>
    <row r="161" spans="6:7">
      <c r="F161" s="7"/>
      <c r="G161" s="7"/>
    </row>
    <row r="162" spans="6:7">
      <c r="F162" s="7"/>
      <c r="G162" s="7"/>
    </row>
    <row r="163" spans="6:7">
      <c r="F163" s="7"/>
      <c r="G163" s="7"/>
    </row>
    <row r="164" spans="6:7">
      <c r="F164" s="7"/>
      <c r="G164" s="7"/>
    </row>
    <row r="165" spans="6:7">
      <c r="F165" s="7"/>
      <c r="G165" s="7"/>
    </row>
    <row r="166" spans="6:7">
      <c r="F166" s="7"/>
      <c r="G166" s="7"/>
    </row>
    <row r="167" spans="6:7">
      <c r="F167" s="7"/>
      <c r="G167" s="7"/>
    </row>
    <row r="168" spans="6:7">
      <c r="F168" s="7"/>
      <c r="G168" s="7"/>
    </row>
    <row r="169" spans="6:7">
      <c r="F169" s="7"/>
      <c r="G169" s="7"/>
    </row>
    <row r="170" spans="6:7">
      <c r="F170" s="7"/>
      <c r="G170" s="7"/>
    </row>
    <row r="171" spans="6:7">
      <c r="F171" s="7"/>
      <c r="G171" s="7"/>
    </row>
    <row r="172" spans="6:7">
      <c r="F172" s="7"/>
      <c r="G172" s="7"/>
    </row>
    <row r="173" spans="6:7">
      <c r="F173" s="7"/>
      <c r="G173" s="7"/>
    </row>
    <row r="174" spans="6:7">
      <c r="F174" s="7"/>
      <c r="G174" s="7"/>
    </row>
    <row r="175" spans="6:7">
      <c r="F175" s="7"/>
      <c r="G175" s="7"/>
    </row>
    <row r="176" spans="6:7">
      <c r="F176" s="7"/>
      <c r="G176" s="7"/>
    </row>
    <row r="177" spans="6:7">
      <c r="F177" s="7"/>
      <c r="G177" s="7"/>
    </row>
    <row r="178" spans="6:7">
      <c r="F178" s="7"/>
      <c r="G178" s="7"/>
    </row>
    <row r="179" spans="6:7">
      <c r="F179" s="7"/>
      <c r="G179" s="7"/>
    </row>
    <row r="180" spans="6:7">
      <c r="F180" s="7"/>
      <c r="G180" s="7"/>
    </row>
    <row r="181" spans="6:7">
      <c r="F181" s="7"/>
      <c r="G181" s="7"/>
    </row>
    <row r="182" spans="6:7">
      <c r="F182" s="7"/>
      <c r="G182" s="7"/>
    </row>
    <row r="183" spans="6:7">
      <c r="F183" s="7"/>
      <c r="G183" s="7"/>
    </row>
    <row r="184" spans="6:7">
      <c r="F184" s="7"/>
      <c r="G184" s="7"/>
    </row>
    <row r="185" spans="6:7">
      <c r="F185" s="7"/>
      <c r="G185" s="7"/>
    </row>
    <row r="186" spans="6:7">
      <c r="F186" s="7"/>
      <c r="G186" s="7"/>
    </row>
    <row r="187" spans="6:7">
      <c r="F187" s="7"/>
      <c r="G187" s="7"/>
    </row>
    <row r="188" spans="6:7">
      <c r="F188" s="7"/>
      <c r="G188" s="7"/>
    </row>
    <row r="189" spans="6:7">
      <c r="F189" s="7"/>
      <c r="G189" s="7"/>
    </row>
    <row r="190" spans="6:7">
      <c r="F190" s="7"/>
      <c r="G190" s="7"/>
    </row>
    <row r="191" spans="6:7">
      <c r="F191" s="7"/>
      <c r="G191" s="7"/>
    </row>
    <row r="192" spans="6:7">
      <c r="F192" s="7"/>
      <c r="G192" s="7"/>
    </row>
    <row r="193" spans="6:7">
      <c r="F193" s="7"/>
      <c r="G193" s="7"/>
    </row>
    <row r="194" spans="6:7">
      <c r="F194" s="7"/>
      <c r="G194" s="7"/>
    </row>
    <row r="195" spans="6:7">
      <c r="F195" s="7"/>
      <c r="G195" s="7"/>
    </row>
    <row r="196" spans="6:7">
      <c r="F196" s="7"/>
      <c r="G196" s="7"/>
    </row>
    <row r="197" spans="6:7">
      <c r="F197" s="7"/>
      <c r="G197" s="7"/>
    </row>
    <row r="198" spans="6:7">
      <c r="F198" s="7"/>
      <c r="G198" s="7"/>
    </row>
    <row r="199" spans="6:7">
      <c r="F199" s="7"/>
      <c r="G199" s="7"/>
    </row>
    <row r="200" spans="6:7">
      <c r="F200" s="7"/>
      <c r="G200" s="7"/>
    </row>
    <row r="201" spans="6:7">
      <c r="F201" s="7"/>
      <c r="G201" s="7"/>
    </row>
    <row r="202" spans="6:7">
      <c r="F202" s="7"/>
      <c r="G202" s="7"/>
    </row>
    <row r="203" spans="6:7">
      <c r="F203" s="7"/>
      <c r="G203" s="7"/>
    </row>
    <row r="204" spans="6:7">
      <c r="F204" s="7"/>
      <c r="G204" s="7"/>
    </row>
    <row r="205" spans="6:7">
      <c r="F205" s="7"/>
      <c r="G205" s="7"/>
    </row>
    <row r="206" spans="6:7">
      <c r="F206" s="7"/>
      <c r="G206" s="7"/>
    </row>
    <row r="207" spans="6:7">
      <c r="F207" s="7"/>
      <c r="G207" s="7"/>
    </row>
    <row r="208" spans="6:7">
      <c r="F208" s="7"/>
      <c r="G208" s="7"/>
    </row>
    <row r="209" spans="6:7">
      <c r="F209" s="7"/>
      <c r="G209" s="7"/>
    </row>
    <row r="210" spans="6:7">
      <c r="F210" s="7"/>
      <c r="G210" s="7"/>
    </row>
    <row r="211" spans="6:7">
      <c r="F211" s="7"/>
      <c r="G211" s="7"/>
    </row>
    <row r="212" spans="6:7">
      <c r="F212" s="7"/>
      <c r="G212" s="7"/>
    </row>
    <row r="213" spans="6:7">
      <c r="F213" s="7"/>
      <c r="G213" s="7"/>
    </row>
    <row r="214" spans="6:7">
      <c r="F214" s="7"/>
      <c r="G214" s="7"/>
    </row>
    <row r="215" spans="6:7">
      <c r="F215" s="7"/>
      <c r="G215" s="7"/>
    </row>
    <row r="216" spans="6:7">
      <c r="F216" s="7"/>
      <c r="G216" s="7"/>
    </row>
    <row r="217" spans="6:7">
      <c r="F217" s="7"/>
      <c r="G217" s="7"/>
    </row>
    <row r="218" spans="6:7">
      <c r="F218" s="7"/>
      <c r="G218" s="7"/>
    </row>
    <row r="219" spans="6:7">
      <c r="F219" s="7"/>
      <c r="G219" s="7"/>
    </row>
    <row r="220" spans="6:7">
      <c r="F220" s="7"/>
      <c r="G220" s="7"/>
    </row>
    <row r="221" spans="6:7">
      <c r="F221" s="7"/>
      <c r="G221" s="7"/>
    </row>
    <row r="222" spans="6:7">
      <c r="F222" s="7"/>
      <c r="G222" s="7"/>
    </row>
    <row r="223" spans="6:7">
      <c r="F223" s="7"/>
      <c r="G223" s="7"/>
    </row>
    <row r="224" spans="6:7">
      <c r="F224" s="7"/>
      <c r="G224" s="7"/>
    </row>
    <row r="225" spans="6:7">
      <c r="F225" s="7"/>
      <c r="G225" s="7"/>
    </row>
    <row r="226" spans="6:7">
      <c r="F226" s="7"/>
      <c r="G226" s="7"/>
    </row>
    <row r="227" spans="6:7">
      <c r="F227" s="7"/>
      <c r="G227" s="7"/>
    </row>
    <row r="228" spans="6:7">
      <c r="F228" s="7"/>
      <c r="G228" s="7"/>
    </row>
    <row r="229" spans="6:7">
      <c r="F229" s="7"/>
      <c r="G229" s="7"/>
    </row>
    <row r="230" spans="6:7">
      <c r="F230" s="7"/>
      <c r="G230" s="7"/>
    </row>
    <row r="231" spans="6:7">
      <c r="F231" s="7"/>
      <c r="G231" s="7"/>
    </row>
    <row r="232" spans="6:7">
      <c r="F232" s="7"/>
      <c r="G232" s="7"/>
    </row>
    <row r="233" spans="6:7">
      <c r="F233" s="7"/>
      <c r="G233" s="7"/>
    </row>
    <row r="234" spans="6:7">
      <c r="F234" s="7"/>
      <c r="G234" s="7"/>
    </row>
    <row r="235" spans="6:7">
      <c r="F235" s="7"/>
      <c r="G235" s="7"/>
    </row>
    <row r="236" spans="6:7">
      <c r="F236" s="7"/>
      <c r="G236" s="7"/>
    </row>
    <row r="237" spans="6:7">
      <c r="F237" s="7"/>
      <c r="G237" s="7"/>
    </row>
    <row r="238" spans="6:7">
      <c r="F238" s="7"/>
      <c r="G238" s="7"/>
    </row>
    <row r="239" spans="6:7">
      <c r="F239" s="7"/>
      <c r="G239" s="7"/>
    </row>
    <row r="240" spans="6:7">
      <c r="F240" s="7"/>
      <c r="G240" s="7"/>
    </row>
    <row r="241" spans="6:7">
      <c r="F241" s="7"/>
      <c r="G241" s="7"/>
    </row>
    <row r="242" spans="6:7">
      <c r="F242" s="7"/>
      <c r="G242" s="7"/>
    </row>
    <row r="243" spans="6:7">
      <c r="F243" s="7"/>
      <c r="G243" s="7"/>
    </row>
    <row r="244" spans="6:7">
      <c r="F244" s="7"/>
      <c r="G244" s="7"/>
    </row>
    <row r="245" spans="6:7">
      <c r="F245" s="7"/>
      <c r="G245" s="7"/>
    </row>
    <row r="246" spans="6:7">
      <c r="F246" s="7"/>
      <c r="G246" s="7"/>
    </row>
    <row r="247" spans="6:7">
      <c r="F247" s="7"/>
      <c r="G247" s="7"/>
    </row>
    <row r="248" spans="6:7">
      <c r="F248" s="7"/>
      <c r="G248" s="7"/>
    </row>
    <row r="249" spans="6:7">
      <c r="F249" s="7"/>
      <c r="G249" s="7"/>
    </row>
  </sheetData>
  <mergeCells count="17">
    <mergeCell ref="A75:A84"/>
    <mergeCell ref="A9:A41"/>
    <mergeCell ref="C34:C35"/>
    <mergeCell ref="A138:D138"/>
    <mergeCell ref="A5:K5"/>
    <mergeCell ref="A124:D124"/>
    <mergeCell ref="A8:D8"/>
    <mergeCell ref="A43:A74"/>
    <mergeCell ref="A101:A117"/>
    <mergeCell ref="A118:A120"/>
    <mergeCell ref="B43:B47"/>
    <mergeCell ref="C19:C23"/>
    <mergeCell ref="C24:C27"/>
    <mergeCell ref="C28:C30"/>
    <mergeCell ref="C31:C33"/>
    <mergeCell ref="C37:C41"/>
    <mergeCell ref="C9:C18"/>
  </mergeCells>
  <pageMargins left="0.31496062992125984" right="0" top="0.19685039370078741" bottom="0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Прил.№2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Мисько</cp:lastModifiedBy>
  <cp:lastPrinted>2021-04-13T10:35:09Z</cp:lastPrinted>
  <dcterms:modified xsi:type="dcterms:W3CDTF">2021-04-13T10:52:43Z</dcterms:modified>
</cp:coreProperties>
</file>