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456" windowHeight="7620"/>
  </bookViews>
  <sheets>
    <sheet name="Прил.№2" sheetId="1" r:id="rId1"/>
    <sheet name="Лист1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I130" i="1"/>
  <c r="I129"/>
  <c r="I128"/>
  <c r="I127"/>
  <c r="I126"/>
  <c r="I125"/>
  <c r="E130"/>
  <c r="E129"/>
  <c r="E128"/>
  <c r="E127"/>
  <c r="E126"/>
  <c r="E125"/>
  <c r="AO130" l="1"/>
  <c r="AO129"/>
  <c r="AO128"/>
  <c r="AO127"/>
  <c r="AO126"/>
  <c r="AO125"/>
  <c r="AN130"/>
  <c r="AN129"/>
  <c r="AN128"/>
  <c r="AN127"/>
  <c r="AN126"/>
  <c r="AN125"/>
  <c r="AL126" l="1"/>
  <c r="AL125"/>
  <c r="AL128"/>
  <c r="AL129"/>
  <c r="AL130"/>
  <c r="AL127"/>
  <c r="AK126"/>
  <c r="AK127"/>
  <c r="AK128"/>
  <c r="AK129"/>
  <c r="AK130"/>
  <c r="AK125"/>
  <c r="AJ130"/>
  <c r="AJ129"/>
  <c r="AJ128"/>
  <c r="AJ127"/>
  <c r="AJ126"/>
  <c r="AI126"/>
  <c r="AI127"/>
  <c r="AI128"/>
  <c r="AI129"/>
  <c r="AI130"/>
  <c r="AE129"/>
  <c r="AG130"/>
  <c r="AF130"/>
  <c r="AG129" l="1"/>
  <c r="AF129"/>
  <c r="AE128" l="1"/>
  <c r="AG128"/>
  <c r="AF128"/>
  <c r="AE127" l="1"/>
  <c r="AG127" s="1"/>
  <c r="AF127"/>
  <c r="AE126" l="1"/>
  <c r="AG126" s="1"/>
  <c r="AE125"/>
  <c r="AF126"/>
  <c r="Z125" l="1"/>
  <c r="AG125"/>
  <c r="AI125" s="1"/>
  <c r="AJ125" s="1"/>
  <c r="AF125"/>
  <c r="AC132" l="1"/>
  <c r="AC131"/>
  <c r="AB132"/>
  <c r="AB131"/>
  <c r="Z131"/>
  <c r="Y132"/>
  <c r="Y131"/>
  <c r="Y130"/>
  <c r="Y129"/>
  <c r="Y128"/>
  <c r="Y127"/>
  <c r="Y126"/>
  <c r="Y125"/>
  <c r="AK9"/>
  <c r="AL9" s="1"/>
  <c r="AI9"/>
  <c r="AJ9" s="1"/>
  <c r="AG9"/>
  <c r="K131" l="1"/>
  <c r="J131"/>
  <c r="I131"/>
  <c r="E131" l="1"/>
  <c r="E132"/>
  <c r="K132"/>
  <c r="J132"/>
  <c r="E139" l="1"/>
  <c r="E140"/>
  <c r="E141"/>
  <c r="E142"/>
  <c r="E143"/>
  <c r="E144"/>
  <c r="S106" l="1"/>
  <c r="R82"/>
  <c r="R107"/>
  <c r="T48" l="1"/>
  <c r="W48" s="1"/>
  <c r="O42" l="1"/>
  <c r="J14" l="1"/>
  <c r="J17"/>
  <c r="J11"/>
  <c r="I11" l="1"/>
  <c r="E11"/>
  <c r="I18" l="1"/>
  <c r="I41"/>
  <c r="I33"/>
  <c r="E33"/>
  <c r="E41"/>
  <c r="E18"/>
  <c r="I119"/>
  <c r="E119"/>
  <c r="I118"/>
  <c r="E118"/>
  <c r="I117"/>
  <c r="F117"/>
  <c r="F115"/>
  <c r="E115" s="1"/>
  <c r="E116"/>
  <c r="I116" s="1"/>
  <c r="I114"/>
  <c r="F114"/>
  <c r="I113"/>
  <c r="F113"/>
  <c r="I110"/>
  <c r="I111"/>
  <c r="I112"/>
  <c r="I109"/>
  <c r="I105"/>
  <c r="I104"/>
  <c r="I103"/>
  <c r="I102"/>
  <c r="F105"/>
  <c r="F104"/>
  <c r="F103"/>
  <c r="F102"/>
  <c r="I101"/>
  <c r="F101"/>
  <c r="I100"/>
  <c r="E100"/>
  <c r="E99"/>
  <c r="I98"/>
  <c r="I97"/>
  <c r="F98"/>
  <c r="F97"/>
  <c r="I86"/>
  <c r="I87"/>
  <c r="I88"/>
  <c r="I89"/>
  <c r="I90"/>
  <c r="I91"/>
  <c r="I92"/>
  <c r="I93"/>
  <c r="I94"/>
  <c r="I95"/>
  <c r="I96"/>
  <c r="I85"/>
  <c r="I80"/>
  <c r="F80"/>
  <c r="I79"/>
  <c r="I78"/>
  <c r="I77"/>
  <c r="I76"/>
  <c r="F79"/>
  <c r="F78"/>
  <c r="F77"/>
  <c r="F76"/>
  <c r="I75"/>
  <c r="F75"/>
  <c r="I74"/>
  <c r="I73"/>
  <c r="I72"/>
  <c r="I71"/>
  <c r="F72"/>
  <c r="F7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51"/>
  <c r="E67"/>
  <c r="E68"/>
  <c r="I47" l="1"/>
  <c r="I46"/>
  <c r="I45"/>
  <c r="I44"/>
  <c r="F47"/>
  <c r="F46"/>
  <c r="F45"/>
  <c r="F44"/>
  <c r="I43"/>
  <c r="F43"/>
  <c r="G43"/>
  <c r="G44"/>
  <c r="G45"/>
  <c r="G46"/>
  <c r="G47"/>
  <c r="G71"/>
  <c r="G72"/>
  <c r="G75"/>
  <c r="G76"/>
  <c r="G77"/>
  <c r="G78"/>
  <c r="G79"/>
  <c r="G80"/>
  <c r="G97"/>
  <c r="G98"/>
  <c r="G101"/>
  <c r="G102"/>
  <c r="G103"/>
  <c r="G104"/>
  <c r="G105"/>
  <c r="G113"/>
  <c r="G114"/>
  <c r="G117"/>
  <c r="I39"/>
  <c r="I36"/>
  <c r="I30"/>
  <c r="I27"/>
  <c r="I26"/>
  <c r="I23"/>
  <c r="I21"/>
  <c r="I17"/>
  <c r="I14"/>
  <c r="I12"/>
  <c r="I15"/>
  <c r="T82" l="1"/>
  <c r="R48"/>
  <c r="E12" l="1"/>
  <c r="E14"/>
  <c r="E15"/>
  <c r="E17"/>
  <c r="E21"/>
  <c r="E23"/>
  <c r="E26"/>
  <c r="E27"/>
  <c r="E30"/>
  <c r="E36"/>
  <c r="E39"/>
  <c r="E105" l="1"/>
  <c r="E104"/>
  <c r="E103"/>
  <c r="E102"/>
  <c r="E79"/>
  <c r="E78"/>
  <c r="E77"/>
  <c r="E76"/>
  <c r="E47"/>
  <c r="E46"/>
  <c r="E45"/>
  <c r="E44"/>
  <c r="E117"/>
  <c r="W82" l="1"/>
  <c r="E43" l="1"/>
  <c r="E42" l="1"/>
  <c r="E75" l="1"/>
  <c r="E110"/>
  <c r="E111"/>
  <c r="E112"/>
  <c r="E52"/>
  <c r="E53"/>
  <c r="E54"/>
  <c r="E55"/>
  <c r="E56"/>
  <c r="E57"/>
  <c r="E58"/>
  <c r="E59"/>
  <c r="E60"/>
  <c r="E61"/>
  <c r="E62"/>
  <c r="E63"/>
  <c r="E64"/>
  <c r="E65"/>
  <c r="E66"/>
  <c r="E69"/>
  <c r="E70"/>
  <c r="E94"/>
  <c r="E92"/>
  <c r="E88"/>
  <c r="E86"/>
  <c r="E109"/>
  <c r="E87"/>
  <c r="E89"/>
  <c r="E90"/>
  <c r="E91"/>
  <c r="E93"/>
  <c r="E95"/>
  <c r="E96"/>
  <c r="E85"/>
  <c r="E74"/>
  <c r="E51"/>
  <c r="E114"/>
  <c r="E113"/>
  <c r="E101"/>
  <c r="E98"/>
  <c r="E97"/>
  <c r="E80"/>
  <c r="E73"/>
  <c r="E72"/>
  <c r="E71"/>
  <c r="I99"/>
  <c r="I115"/>
</calcChain>
</file>

<file path=xl/sharedStrings.xml><?xml version="1.0" encoding="utf-8"?>
<sst xmlns="http://schemas.openxmlformats.org/spreadsheetml/2006/main" count="685" uniqueCount="166">
  <si>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</si>
  <si>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</si>
  <si>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</si>
  <si>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</si>
  <si>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</si>
  <si>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</si>
  <si>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</si>
  <si>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</si>
  <si>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</si>
  <si>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</si>
  <si>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</si>
  <si>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</si>
  <si>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</si>
  <si>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</si>
  <si>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</si>
  <si>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</si>
  <si>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</si>
  <si>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</si>
  <si>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</si>
  <si>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</si>
  <si>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</si>
  <si>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</si>
  <si>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</si>
  <si>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</si>
  <si>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</si>
  <si>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</si>
  <si>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</si>
  <si>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</si>
  <si>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</si>
  <si>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</si>
  <si>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</si>
  <si>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</si>
  <si>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</si>
  <si>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</si>
  <si>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</si>
  <si>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</si>
  <si>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</si>
  <si>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</si>
  <si>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</si>
  <si>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</si>
  <si>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</si>
  <si>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</si>
  <si>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</si>
  <si>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</si>
  <si>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</si>
  <si>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</si>
  <si>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</si>
  <si>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</si>
  <si>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</si>
  <si>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</si>
  <si>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</si>
  <si>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</si>
  <si>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</si>
  <si>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</si>
  <si>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</si>
  <si>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</si>
  <si>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</si>
  <si>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</si>
  <si>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</si>
  <si>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</si>
  <si>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</si>
  <si>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</si>
  <si>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</si>
  <si>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Приложение № 2 к Приказу 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</si>
  <si>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</si>
  <si>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</si>
  <si>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</si>
  <si>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</si>
  <si>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</si>
  <si>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</si>
  <si>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</si>
  <si>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</si>
  <si>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</si>
  <si>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</si>
  <si>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</si>
  <si>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</si>
  <si>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</si>
  <si>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</si>
  <si>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</si>
  <si>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</si>
  <si>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</si>
  <si>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</si>
  <si>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</si>
  <si>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</si>
  <si>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</si>
  <si>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</si>
  <si>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</si>
  <si>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</si>
  <si>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</si>
  <si>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</si>
  <si>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</si>
  <si>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</si>
  <si>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</si>
  <si>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</si>
  <si>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</si>
  <si>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</si>
  <si>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</si>
  <si>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</si>
  <si>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</si>
  <si>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</si>
  <si>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</si>
  <si>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</si>
  <si>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</si>
  <si>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</si>
  <si>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</si>
  <si>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</si>
  <si>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</si>
  <si>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</si>
  <si>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</si>
  <si>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</si>
  <si>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</si>
  <si>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</si>
  <si>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</si>
  <si>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</si>
  <si>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</si>
  <si>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</si>
  <si>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</si>
  <si>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</si>
  <si>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</si>
  <si>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</si>
  <si>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</si>
  <si>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</si>
  <si>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</si>
  <si>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</si>
  <si>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</si>
  <si>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</si>
  <si>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</si>
  <si>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</si>
  <si>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</si>
  <si>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</si>
  <si>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</si>
  <si>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</si>
  <si>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</si>
  <si>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</si>
  <si>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</si>
  <si>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</si>
  <si>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</si>
  <si>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</si>
  <si>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</si>
  <si>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</si>
  <si>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</si>
  <si>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</si>
  <si>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</si>
  <si>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</si>
  <si>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</si>
  <si>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</si>
  <si>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</si>
  <si>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в затраты на оплату труда не входит оплата труда АУП и местный</t>
  </si>
  <si>
    <t>x</t>
  </si>
  <si>
    <t>Базовый норматив затрат на единицу объема на 01.01.2021г.</t>
  </si>
  <si>
    <t>Затраты на на ОТ1 (з/п)</t>
  </si>
  <si>
    <t>материалы</t>
  </si>
  <si>
    <t>КУ</t>
  </si>
  <si>
    <t>Затраты на содержан.недвиж.имущ-ва</t>
  </si>
  <si>
    <t>связь</t>
  </si>
  <si>
    <t>Затраты на ОТ2</t>
  </si>
  <si>
    <t>Затраты прочие</t>
  </si>
  <si>
    <t>сумма прочих расходов</t>
  </si>
  <si>
    <t>Базовый норматив затрат на единицу объема на 17.02.2021г.</t>
  </si>
  <si>
    <r>
      <rPr>
        <b/>
        <sz val="9"/>
        <color theme="9" tint="-0.499984740745262"/>
        <rFont val="Calibri"/>
        <family val="2"/>
        <charset val="204"/>
        <scheme val="minor"/>
      </rPr>
      <t>з/п</t>
    </r>
    <r>
      <rPr>
        <sz val="9"/>
        <color theme="9" tint="-0.499984740745262"/>
        <rFont val="Calibri"/>
        <family val="2"/>
        <charset val="204"/>
        <scheme val="minor"/>
      </rPr>
      <t xml:space="preserve"> после корректировки 17.02.21г.</t>
    </r>
  </si>
  <si>
    <t>повышающ.коэф.на з/п</t>
  </si>
  <si>
    <r>
      <rPr>
        <b/>
        <sz val="9"/>
        <color rgb="FF0070C0"/>
        <rFont val="Calibri"/>
        <family val="2"/>
        <charset val="204"/>
        <scheme val="minor"/>
      </rPr>
      <t>з/п</t>
    </r>
    <r>
      <rPr>
        <sz val="9"/>
        <color rgb="FF0070C0"/>
        <rFont val="Calibri"/>
        <family val="2"/>
        <charset val="204"/>
        <scheme val="minor"/>
      </rPr>
      <t xml:space="preserve"> после корректировки 31.04.21г.</t>
    </r>
  </si>
  <si>
    <t>Базовый норматив затрат на единицу объема на 31.04.2021г.</t>
  </si>
  <si>
    <t>из прилож.№3</t>
  </si>
  <si>
    <r>
      <rPr>
        <b/>
        <sz val="9"/>
        <color theme="5" tint="-0.249977111117893"/>
        <rFont val="Calibri"/>
        <family val="2"/>
        <charset val="204"/>
        <scheme val="minor"/>
      </rPr>
      <t>з/п</t>
    </r>
    <r>
      <rPr>
        <sz val="9"/>
        <color theme="5" tint="-0.249977111117893"/>
        <rFont val="Calibri"/>
        <family val="2"/>
        <charset val="204"/>
        <scheme val="minor"/>
      </rPr>
      <t xml:space="preserve"> после корректировки 31.04.21г.</t>
    </r>
  </si>
  <si>
    <t>от 01.07.2021 г. № 119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</si>
</sst>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#,##0.00000"/>
  </numFmts>
  <fonts count="37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9" tint="-0.499984740745262"/>
      <name val="Times New Roman"/>
      <family val="1"/>
      <charset val="204"/>
    </font>
    <font>
      <sz val="9"/>
      <color theme="9" tint="-0.499984740745262"/>
      <name val="Calibri"/>
      <family val="2"/>
      <charset val="204"/>
      <scheme val="minor"/>
    </font>
    <font>
      <b/>
      <sz val="9"/>
      <color theme="9" tint="-0.499984740745262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b/>
      <sz val="9"/>
      <color rgb="FF0070C0"/>
      <name val="Calibri"/>
      <family val="2"/>
      <charset val="204"/>
      <scheme val="minor"/>
    </font>
    <font>
      <sz val="8"/>
      <color rgb="FF0070C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70C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5" tint="-0.249977111117893"/>
      <name val="Calibri"/>
      <family val="2"/>
      <charset val="204"/>
      <scheme val="minor"/>
    </font>
    <font>
      <b/>
      <sz val="9"/>
      <color theme="5" tint="-0.249977111117893"/>
      <name val="Calibri"/>
      <family val="2"/>
      <charset val="204"/>
      <scheme val="minor"/>
    </font>
    <font>
      <sz val="8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13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14" fontId="17" fillId="3" borderId="2" xfId="0" applyNumberFormat="1" applyFont="1" applyFill="1" applyBorder="1" applyAlignment="1">
      <alignment horizontal="center" vertical="center" wrapText="1"/>
    </xf>
    <xf numFmtId="14" fontId="18" fillId="5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/>
    </xf>
    <xf numFmtId="0" fontId="26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4" fontId="29" fillId="3" borderId="2" xfId="0" applyNumberFormat="1" applyFont="1" applyFill="1" applyBorder="1" applyAlignment="1">
      <alignment horizontal="center" vertical="center"/>
    </xf>
    <xf numFmtId="165" fontId="28" fillId="3" borderId="2" xfId="0" applyNumberFormat="1" applyFont="1" applyFill="1" applyBorder="1" applyAlignment="1">
      <alignment horizontal="center" vertical="center"/>
    </xf>
    <xf numFmtId="4" fontId="26" fillId="3" borderId="2" xfId="0" applyNumberFormat="1" applyFont="1" applyFill="1" applyBorder="1" applyAlignment="1">
      <alignment horizontal="center" vertical="center"/>
    </xf>
    <xf numFmtId="166" fontId="28" fillId="3" borderId="2" xfId="0" applyNumberFormat="1" applyFont="1" applyFill="1" applyBorder="1" applyAlignment="1">
      <alignment horizontal="center" vertical="center"/>
    </xf>
    <xf numFmtId="2" fontId="27" fillId="3" borderId="2" xfId="0" applyNumberFormat="1" applyFont="1" applyFill="1" applyBorder="1" applyAlignment="1">
      <alignment horizontal="center" vertical="center"/>
    </xf>
    <xf numFmtId="14" fontId="17" fillId="5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%20(31.05.2021)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.01.2016"/>
      <sheetName val="ОБЩИЙ"/>
      <sheetName val="ШКОЛЫ"/>
      <sheetName val="САДЫ "/>
      <sheetName val="ДОП ДДТ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I11">
            <v>221.36449058657408</v>
          </cell>
        </row>
        <row r="12">
          <cell r="I12">
            <v>229.35202578172783</v>
          </cell>
        </row>
        <row r="13">
          <cell r="I13">
            <v>266.29347175972225</v>
          </cell>
        </row>
        <row r="14">
          <cell r="I14">
            <v>238.19674809395428</v>
          </cell>
        </row>
        <row r="15">
          <cell r="I15">
            <v>212.21322326729367</v>
          </cell>
        </row>
        <row r="16">
          <cell r="I16">
            <v>219.4157182669903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9"/>
  <sheetViews>
    <sheetView tabSelected="1" topLeftCell="A3" zoomScale="80" zoomScaleNormal="80" workbookViewId="0">
      <pane xSplit="1" ySplit="6" topLeftCell="B121" activePane="bottomRight" state="frozen"/>
      <selection activeCell="A3" sqref="A3"/>
      <selection pane="topRight" activeCell="B3" sqref="B3"/>
      <selection pane="bottomLeft" activeCell="A9" sqref="A9"/>
      <selection pane="bottomRight" activeCell="A5" sqref="A5:K5"/>
    </sheetView>
  </sheetViews>
  <sheetFormatPr defaultColWidth="9.109375" defaultRowHeight="13.2"/>
  <cols>
    <col min="1" max="1" width="46.33203125" style="7" customWidth="1"/>
    <col min="2" max="2" width="34.88671875" style="7" customWidth="1"/>
    <col min="3" max="3" width="5.44140625" style="7" customWidth="1"/>
    <col min="4" max="4" width="11.33203125" style="7" customWidth="1"/>
    <col min="5" max="5" width="15" style="7" customWidth="1"/>
    <col min="6" max="6" width="15.44140625" style="28" customWidth="1"/>
    <col min="7" max="7" width="17" style="28"/>
    <col min="8" max="8" width="15.88671875" style="23" customWidth="1"/>
    <col min="9" max="9" width="14.44140625" style="7" customWidth="1"/>
    <col min="10" max="10" width="14" style="23" customWidth="1"/>
    <col min="11" max="11" width="15" style="23" customWidth="1"/>
    <col min="12" max="12" width="6.5546875" style="7" hidden="1" customWidth="1"/>
    <col min="13" max="13" width="6.5546875" style="7" customWidth="1"/>
    <col min="14" max="14" width="26.6640625" style="7" hidden="1" customWidth="1"/>
    <col min="15" max="15" width="7.6640625" style="7" hidden="1" customWidth="1"/>
    <col min="16" max="16" width="7.5546875" style="7" hidden="1" customWidth="1"/>
    <col min="17" max="18" width="9.109375" style="7" hidden="1" customWidth="1"/>
    <col min="19" max="19" width="5.88671875" style="7" hidden="1" customWidth="1"/>
    <col min="20" max="23" width="9.109375" style="7" hidden="1" customWidth="1"/>
    <col min="24" max="24" width="9.6640625" style="7" bestFit="1" customWidth="1"/>
    <col min="25" max="25" width="10.88671875" style="7" hidden="1" customWidth="1"/>
    <col min="26" max="26" width="10.44140625" style="7" hidden="1" customWidth="1"/>
    <col min="27" max="28" width="9.109375" style="7" hidden="1" customWidth="1"/>
    <col min="29" max="29" width="8.21875" style="7" hidden="1" customWidth="1"/>
    <col min="30" max="30" width="8" style="7" hidden="1" customWidth="1"/>
    <col min="31" max="31" width="9.109375" style="7" hidden="1" customWidth="1"/>
    <col min="32" max="32" width="8.21875" style="7" hidden="1" customWidth="1"/>
    <col min="33" max="33" width="8.44140625" style="7" hidden="1" customWidth="1"/>
    <col min="34" max="34" width="9.77734375" style="7" hidden="1" customWidth="1"/>
    <col min="35" max="35" width="9.109375" style="7" hidden="1" customWidth="1"/>
    <col min="36" max="36" width="10.33203125" style="7" hidden="1" customWidth="1"/>
    <col min="37" max="37" width="9.5546875" style="7" hidden="1" customWidth="1"/>
    <col min="38" max="38" width="9.109375" style="7" hidden="1" customWidth="1"/>
    <col min="39" max="39" width="11.21875" style="7" hidden="1" customWidth="1"/>
    <col min="40" max="41" width="0" style="7" hidden="1" customWidth="1"/>
    <col min="42" max="42" width="10.5546875" style="7" hidden="1" customWidth="1"/>
    <col min="43" max="16384" width="9.109375" style="7"/>
  </cols>
  <sheetData>
    <row r="1" spans="1:39" ht="13.8" hidden="1">
      <c r="J1" s="26" t="s">
        <v>78</v>
      </c>
      <c r="K1" s="26"/>
    </row>
    <row r="2" spans="1:39" ht="13.8" hidden="1">
      <c r="J2" s="26" t="s">
        <v>79</v>
      </c>
      <c r="K2" s="26"/>
    </row>
    <row r="3" spans="1:39" ht="13.8">
      <c r="A3" s="2"/>
      <c r="B3" s="1"/>
      <c r="C3" s="1"/>
      <c r="D3" s="1"/>
      <c r="E3" s="1"/>
      <c r="F3" s="1"/>
      <c r="G3" s="1"/>
      <c r="H3" s="1"/>
      <c r="I3" s="1"/>
      <c r="J3" s="54" t="s">
        <v>63</v>
      </c>
      <c r="K3" s="54"/>
    </row>
    <row r="4" spans="1:39" ht="13.8">
      <c r="A4" s="2"/>
      <c r="B4" s="1"/>
      <c r="C4" s="1"/>
      <c r="D4" s="1"/>
      <c r="E4" s="1"/>
      <c r="F4" s="1"/>
      <c r="G4" s="1"/>
      <c r="H4" s="1"/>
      <c r="I4" s="1"/>
      <c r="J4" s="54" t="s">
        <v>165</v>
      </c>
      <c r="K4" s="54"/>
    </row>
    <row r="5" spans="1:39" ht="18">
      <c r="A5" s="124" t="s">
        <v>2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39" ht="15.6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39" ht="115.2" customHeight="1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39" ht="19.95" customHeight="1">
      <c r="A8" s="123" t="s">
        <v>8</v>
      </c>
      <c r="B8" s="123"/>
      <c r="C8" s="123"/>
      <c r="D8" s="123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39" ht="58.95" customHeight="1">
      <c r="A9" s="118" t="s">
        <v>77</v>
      </c>
      <c r="B9" s="13" t="s">
        <v>10</v>
      </c>
      <c r="C9" s="121" t="s">
        <v>91</v>
      </c>
      <c r="D9" s="17" t="s">
        <v>14</v>
      </c>
      <c r="E9" s="46"/>
      <c r="F9" s="47"/>
      <c r="G9" s="47"/>
      <c r="H9" s="47"/>
      <c r="I9" s="46"/>
      <c r="J9" s="47"/>
      <c r="K9" s="47"/>
      <c r="Y9" s="85">
        <v>270.04000000000002</v>
      </c>
      <c r="Z9" s="86">
        <v>218.16</v>
      </c>
      <c r="AA9" s="87">
        <v>11.109</v>
      </c>
      <c r="AB9" s="86">
        <v>5.7160000000000002</v>
      </c>
      <c r="AC9" s="86">
        <v>4.0739999999999998</v>
      </c>
      <c r="AD9" s="87">
        <v>0.45800000000000002</v>
      </c>
      <c r="AE9" s="87">
        <v>24.11</v>
      </c>
      <c r="AF9" s="87">
        <v>6.4139999999999997</v>
      </c>
      <c r="AG9" s="87">
        <f t="shared" ref="AG9" si="0">AA9+AD9+AE9+AF9</f>
        <v>42.091000000000001</v>
      </c>
      <c r="AH9" s="86">
        <v>271.22000000000003</v>
      </c>
      <c r="AI9" s="88">
        <f>AH9-AB9-AC9-AG9</f>
        <v>219.339</v>
      </c>
      <c r="AJ9" s="89">
        <f>AI9-218.16</f>
        <v>1.179000000000002</v>
      </c>
      <c r="AK9" s="90">
        <f>T9-AB9-AC9-AG9</f>
        <v>-51.881</v>
      </c>
      <c r="AL9" s="91">
        <f>AK9-AI9</f>
        <v>-271.22000000000003</v>
      </c>
      <c r="AM9" s="92">
        <v>291.53656671968002</v>
      </c>
    </row>
    <row r="10" spans="1:39" ht="13.8">
      <c r="A10" s="119"/>
      <c r="B10" s="13" t="s">
        <v>92</v>
      </c>
      <c r="C10" s="134"/>
      <c r="D10" s="17"/>
      <c r="E10" s="46"/>
      <c r="F10" s="47"/>
      <c r="G10" s="47"/>
      <c r="H10" s="47"/>
      <c r="I10" s="46"/>
      <c r="J10" s="47"/>
      <c r="K10" s="47"/>
    </row>
    <row r="11" spans="1:39" ht="13.8">
      <c r="A11" s="119"/>
      <c r="B11" s="13" t="s">
        <v>11</v>
      </c>
      <c r="C11" s="134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39" ht="13.8">
      <c r="A12" s="119"/>
      <c r="B12" s="13" t="s">
        <v>12</v>
      </c>
      <c r="C12" s="134"/>
      <c r="D12" s="17" t="s">
        <v>14</v>
      </c>
      <c r="E12" s="15">
        <f t="shared" ref="E12:E18" si="1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2">F12-1159.4</f>
        <v>51326.689999999995</v>
      </c>
      <c r="J12" s="39">
        <v>9821.7000000000007</v>
      </c>
      <c r="K12" s="39">
        <v>3547.8</v>
      </c>
    </row>
    <row r="13" spans="1:39" ht="13.8">
      <c r="A13" s="119"/>
      <c r="B13" s="13" t="s">
        <v>93</v>
      </c>
      <c r="C13" s="134"/>
      <c r="D13" s="17"/>
      <c r="E13" s="15"/>
      <c r="F13" s="39"/>
      <c r="G13" s="39"/>
      <c r="H13" s="39"/>
      <c r="I13" s="58"/>
      <c r="J13" s="39"/>
      <c r="K13" s="39"/>
    </row>
    <row r="14" spans="1:39" ht="13.8">
      <c r="A14" s="119"/>
      <c r="B14" s="13" t="s">
        <v>11</v>
      </c>
      <c r="C14" s="134"/>
      <c r="D14" s="17" t="s">
        <v>14</v>
      </c>
      <c r="E14" s="15">
        <f t="shared" si="1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3">6576.49</f>
        <v>6576.49</v>
      </c>
      <c r="K14" s="39">
        <v>1995.15</v>
      </c>
    </row>
    <row r="15" spans="1:39" ht="13.8">
      <c r="A15" s="119"/>
      <c r="B15" s="13" t="s">
        <v>12</v>
      </c>
      <c r="C15" s="134"/>
      <c r="D15" s="17" t="s">
        <v>14</v>
      </c>
      <c r="E15" s="15">
        <f t="shared" si="1"/>
        <v>121406.92</v>
      </c>
      <c r="F15" s="60">
        <v>41549.4</v>
      </c>
      <c r="G15" s="39">
        <v>12142.68</v>
      </c>
      <c r="H15" s="39">
        <v>67714.84</v>
      </c>
      <c r="I15" s="58">
        <f t="shared" si="2"/>
        <v>40390</v>
      </c>
      <c r="J15" s="39">
        <v>9821.7000000000007</v>
      </c>
      <c r="K15" s="39">
        <v>3547.8</v>
      </c>
    </row>
    <row r="16" spans="1:39" ht="13.8">
      <c r="A16" s="119"/>
      <c r="B16" s="13" t="s">
        <v>95</v>
      </c>
      <c r="C16" s="134"/>
      <c r="D16" s="17"/>
      <c r="E16" s="15"/>
      <c r="F16" s="60"/>
      <c r="G16" s="39"/>
      <c r="H16" s="39"/>
      <c r="I16" s="58"/>
      <c r="J16" s="39"/>
      <c r="K16" s="39"/>
    </row>
    <row r="17" spans="1:11" ht="13.8">
      <c r="A17" s="119"/>
      <c r="B17" s="13" t="s">
        <v>11</v>
      </c>
      <c r="C17" s="134"/>
      <c r="D17" s="17" t="s">
        <v>14</v>
      </c>
      <c r="E17" s="15">
        <f t="shared" si="1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2"/>
        <v>70328.210000000006</v>
      </c>
      <c r="J17" s="39">
        <f t="shared" si="3"/>
        <v>6576.49</v>
      </c>
      <c r="K17" s="39">
        <v>1995.15</v>
      </c>
    </row>
    <row r="18" spans="1:11" ht="13.8">
      <c r="A18" s="119"/>
      <c r="B18" s="13" t="s">
        <v>12</v>
      </c>
      <c r="C18" s="122"/>
      <c r="D18" s="17" t="s">
        <v>14</v>
      </c>
      <c r="E18" s="15">
        <f t="shared" si="1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2"/>
        <v>80779.97</v>
      </c>
      <c r="J18" s="39">
        <v>9821.7000000000007</v>
      </c>
      <c r="K18" s="39">
        <v>3547.8</v>
      </c>
    </row>
    <row r="19" spans="1:11" ht="90" customHeight="1">
      <c r="A19" s="119"/>
      <c r="B19" s="13" t="s">
        <v>96</v>
      </c>
      <c r="C19" s="121" t="s">
        <v>97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3.8">
      <c r="A20" s="119"/>
      <c r="B20" s="13" t="s">
        <v>93</v>
      </c>
      <c r="C20" s="134"/>
      <c r="D20" s="17"/>
      <c r="E20" s="44"/>
      <c r="F20" s="48"/>
      <c r="G20" s="43"/>
      <c r="H20" s="43"/>
      <c r="I20" s="70"/>
      <c r="J20" s="43"/>
      <c r="K20" s="43"/>
    </row>
    <row r="21" spans="1:11" ht="13.8">
      <c r="A21" s="119"/>
      <c r="B21" s="13" t="s">
        <v>11</v>
      </c>
      <c r="C21" s="134"/>
      <c r="D21" s="17" t="s">
        <v>14</v>
      </c>
      <c r="E21" s="15">
        <f t="shared" ref="E21:E23" si="4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3.8">
      <c r="A22" s="119"/>
      <c r="B22" s="13" t="s">
        <v>100</v>
      </c>
      <c r="C22" s="134"/>
      <c r="D22" s="17"/>
      <c r="E22" s="15"/>
      <c r="F22" s="60"/>
      <c r="G22" s="39"/>
      <c r="H22" s="39"/>
      <c r="I22" s="58"/>
      <c r="J22" s="39"/>
      <c r="K22" s="39"/>
    </row>
    <row r="23" spans="1:11" ht="13.8">
      <c r="A23" s="119"/>
      <c r="B23" s="13" t="s">
        <v>11</v>
      </c>
      <c r="C23" s="122"/>
      <c r="D23" s="17" t="s">
        <v>14</v>
      </c>
      <c r="E23" s="15">
        <f t="shared" si="4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00000000000006" customHeight="1">
      <c r="A24" s="119"/>
      <c r="B24" s="13" t="s">
        <v>102</v>
      </c>
      <c r="C24" s="121" t="s">
        <v>99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3.8">
      <c r="A25" s="119"/>
      <c r="B25" s="13" t="s">
        <v>98</v>
      </c>
      <c r="C25" s="134"/>
      <c r="D25" s="17"/>
      <c r="E25" s="44"/>
      <c r="F25" s="49"/>
      <c r="G25" s="43"/>
      <c r="H25" s="43"/>
      <c r="I25" s="70"/>
      <c r="J25" s="43"/>
      <c r="K25" s="43"/>
    </row>
    <row r="26" spans="1:11" ht="13.8">
      <c r="A26" s="119"/>
      <c r="B26" s="13" t="s">
        <v>11</v>
      </c>
      <c r="C26" s="134"/>
      <c r="D26" s="17" t="s">
        <v>14</v>
      </c>
      <c r="E26" s="15">
        <f t="shared" ref="E26:E27" si="5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3.8">
      <c r="A27" s="119"/>
      <c r="B27" s="13" t="s">
        <v>12</v>
      </c>
      <c r="C27" s="122"/>
      <c r="D27" s="17" t="s">
        <v>14</v>
      </c>
      <c r="E27" s="15">
        <f t="shared" si="5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>
      <c r="A28" s="119"/>
      <c r="B28" s="13" t="s">
        <v>30</v>
      </c>
      <c r="C28" s="121" t="s">
        <v>101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>
      <c r="A29" s="119"/>
      <c r="B29" s="13" t="s">
        <v>95</v>
      </c>
      <c r="C29" s="134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>
      <c r="A30" s="119"/>
      <c r="B30" s="13" t="s">
        <v>12</v>
      </c>
      <c r="C30" s="122"/>
      <c r="D30" s="17" t="s">
        <v>15</v>
      </c>
      <c r="E30" s="15">
        <f t="shared" ref="E30:E36" si="6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>
      <c r="A31" s="119"/>
      <c r="B31" s="13" t="s">
        <v>123</v>
      </c>
      <c r="C31" s="121" t="s">
        <v>122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>
      <c r="A32" s="119"/>
      <c r="B32" s="13" t="s">
        <v>121</v>
      </c>
      <c r="C32" s="134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>
      <c r="A33" s="119"/>
      <c r="B33" s="13" t="s">
        <v>11</v>
      </c>
      <c r="C33" s="122"/>
      <c r="D33" s="17" t="s">
        <v>14</v>
      </c>
      <c r="E33" s="15">
        <f t="shared" si="6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>
      <c r="A34" s="119"/>
      <c r="B34" s="13" t="s">
        <v>31</v>
      </c>
      <c r="C34" s="121" t="s">
        <v>94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3.8">
      <c r="A35" s="119"/>
      <c r="B35" s="13" t="s">
        <v>60</v>
      </c>
      <c r="C35" s="122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3.8">
      <c r="A36" s="119"/>
      <c r="B36" s="13" t="s">
        <v>11</v>
      </c>
      <c r="C36" s="37"/>
      <c r="D36" s="17" t="s">
        <v>14</v>
      </c>
      <c r="E36" s="15">
        <f t="shared" si="6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55.2">
      <c r="A37" s="119"/>
      <c r="B37" s="13" t="s">
        <v>31</v>
      </c>
      <c r="C37" s="121" t="s">
        <v>103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3.8">
      <c r="A38" s="119"/>
      <c r="B38" s="13" t="s">
        <v>60</v>
      </c>
      <c r="C38" s="134"/>
      <c r="D38" s="17"/>
      <c r="E38" s="15"/>
      <c r="F38" s="39"/>
      <c r="G38" s="39"/>
      <c r="H38" s="39"/>
      <c r="I38" s="71"/>
      <c r="J38" s="39"/>
      <c r="K38" s="39" t="s">
        <v>23</v>
      </c>
    </row>
    <row r="39" spans="1:23" ht="13.8">
      <c r="A39" s="119"/>
      <c r="B39" s="13" t="s">
        <v>11</v>
      </c>
      <c r="C39" s="134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3.8">
      <c r="A40" s="119"/>
      <c r="B40" s="13" t="s">
        <v>121</v>
      </c>
      <c r="C40" s="134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>
      <c r="A41" s="120"/>
      <c r="B41" s="13" t="s">
        <v>11</v>
      </c>
      <c r="C41" s="122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>
      <c r="A42" s="13" t="s">
        <v>72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" customHeight="1">
      <c r="A43" s="125" t="s">
        <v>73</v>
      </c>
      <c r="B43" s="131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81</v>
      </c>
      <c r="M43" s="62"/>
      <c r="N43" s="67" t="s">
        <v>147</v>
      </c>
      <c r="O43" s="7">
        <v>7790.73</v>
      </c>
      <c r="P43" s="7">
        <v>2567.5</v>
      </c>
      <c r="Q43" s="7">
        <v>247.23</v>
      </c>
    </row>
    <row r="44" spans="1:23" ht="32.4" customHeight="1">
      <c r="A44" s="126"/>
      <c r="B44" s="132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82</v>
      </c>
      <c r="M44" s="62"/>
      <c r="N44" s="62"/>
    </row>
    <row r="45" spans="1:23" ht="32.4" customHeight="1">
      <c r="A45" s="126"/>
      <c r="B45" s="132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83</v>
      </c>
      <c r="M45" s="62"/>
      <c r="N45" s="62"/>
    </row>
    <row r="46" spans="1:23" ht="32.4" customHeight="1">
      <c r="A46" s="126"/>
      <c r="B46" s="132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84</v>
      </c>
      <c r="M46" s="62"/>
      <c r="N46" s="62"/>
    </row>
    <row r="47" spans="1:23" ht="32.4" customHeight="1">
      <c r="A47" s="126"/>
      <c r="B47" s="133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85</v>
      </c>
      <c r="M47" s="62"/>
      <c r="N47" s="62"/>
    </row>
    <row r="48" spans="1:23" ht="125.4" customHeight="1">
      <c r="A48" s="126"/>
      <c r="B48" s="12" t="s">
        <v>19</v>
      </c>
      <c r="C48" s="12"/>
      <c r="D48" s="4" t="s">
        <v>20</v>
      </c>
      <c r="E48" s="15" t="s">
        <v>137</v>
      </c>
      <c r="F48" s="11" t="s">
        <v>106</v>
      </c>
      <c r="G48" s="11" t="s">
        <v>105</v>
      </c>
      <c r="H48" s="39" t="s">
        <v>134</v>
      </c>
      <c r="I48" s="15" t="s">
        <v>107</v>
      </c>
      <c r="J48" s="39" t="s">
        <v>135</v>
      </c>
      <c r="K48" s="39" t="s">
        <v>136</v>
      </c>
      <c r="L48" s="62" t="s">
        <v>86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9999999999999" customHeight="1">
      <c r="A49" s="126"/>
      <c r="B49" s="12" t="s">
        <v>21</v>
      </c>
      <c r="C49" s="12"/>
      <c r="D49" s="4" t="s">
        <v>20</v>
      </c>
      <c r="E49" s="39" t="s">
        <v>138</v>
      </c>
      <c r="F49" s="11" t="s">
        <v>108</v>
      </c>
      <c r="G49" s="11" t="s">
        <v>104</v>
      </c>
      <c r="H49" s="39" t="s">
        <v>134</v>
      </c>
      <c r="I49" s="15" t="s">
        <v>109</v>
      </c>
      <c r="J49" s="39" t="s">
        <v>135</v>
      </c>
      <c r="K49" s="39" t="s">
        <v>136</v>
      </c>
      <c r="S49" s="41"/>
    </row>
    <row r="50" spans="1:19" ht="16.2" customHeight="1">
      <c r="A50" s="126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3.8">
      <c r="A51" s="126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3.8">
      <c r="A52" s="126"/>
      <c r="B52" s="5" t="s">
        <v>45</v>
      </c>
      <c r="C52" s="5"/>
      <c r="D52" s="6" t="s">
        <v>18</v>
      </c>
      <c r="E52" s="58">
        <f t="shared" ref="E52:E70" si="7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8">F52-1386.66</f>
        <v>82564.42</v>
      </c>
      <c r="J52" s="59" t="s">
        <v>23</v>
      </c>
      <c r="K52" s="59" t="s">
        <v>23</v>
      </c>
    </row>
    <row r="53" spans="1:19" ht="13.8">
      <c r="A53" s="126"/>
      <c r="B53" s="5" t="s">
        <v>46</v>
      </c>
      <c r="C53" s="5"/>
      <c r="D53" s="6" t="s">
        <v>18</v>
      </c>
      <c r="E53" s="58">
        <f t="shared" si="7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8"/>
        <v>24328.3</v>
      </c>
      <c r="J53" s="59" t="s">
        <v>23</v>
      </c>
      <c r="K53" s="59" t="s">
        <v>23</v>
      </c>
    </row>
    <row r="54" spans="1:19" ht="13.8">
      <c r="A54" s="126"/>
      <c r="B54" s="5" t="s">
        <v>47</v>
      </c>
      <c r="C54" s="5"/>
      <c r="D54" s="6" t="s">
        <v>18</v>
      </c>
      <c r="E54" s="58">
        <f t="shared" si="7"/>
        <v>30937.81</v>
      </c>
      <c r="F54" s="58">
        <v>30937.81</v>
      </c>
      <c r="G54" s="58" t="s">
        <v>23</v>
      </c>
      <c r="H54" s="59" t="s">
        <v>23</v>
      </c>
      <c r="I54" s="58">
        <f t="shared" si="8"/>
        <v>29551.15</v>
      </c>
      <c r="J54" s="59" t="s">
        <v>23</v>
      </c>
      <c r="K54" s="59" t="s">
        <v>23</v>
      </c>
    </row>
    <row r="55" spans="1:19" ht="13.8">
      <c r="A55" s="126"/>
      <c r="B55" s="5" t="s">
        <v>52</v>
      </c>
      <c r="C55" s="5"/>
      <c r="D55" s="6" t="s">
        <v>18</v>
      </c>
      <c r="E55" s="58">
        <f t="shared" si="7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8"/>
        <v>68096.08</v>
      </c>
      <c r="J55" s="59" t="s">
        <v>23</v>
      </c>
      <c r="K55" s="59" t="s">
        <v>23</v>
      </c>
    </row>
    <row r="56" spans="1:19" ht="13.8">
      <c r="A56" s="126"/>
      <c r="B56" s="5" t="s">
        <v>53</v>
      </c>
      <c r="C56" s="5"/>
      <c r="D56" s="6" t="s">
        <v>18</v>
      </c>
      <c r="E56" s="58">
        <f t="shared" si="7"/>
        <v>83951.08</v>
      </c>
      <c r="F56" s="58">
        <v>83951.08</v>
      </c>
      <c r="G56" s="58" t="s">
        <v>23</v>
      </c>
      <c r="H56" s="59" t="s">
        <v>23</v>
      </c>
      <c r="I56" s="58">
        <f t="shared" si="8"/>
        <v>82564.42</v>
      </c>
      <c r="J56" s="59" t="s">
        <v>23</v>
      </c>
      <c r="K56" s="59" t="s">
        <v>23</v>
      </c>
    </row>
    <row r="57" spans="1:19" ht="13.8">
      <c r="A57" s="126"/>
      <c r="B57" s="5" t="s">
        <v>37</v>
      </c>
      <c r="C57" s="5"/>
      <c r="D57" s="6" t="s">
        <v>18</v>
      </c>
      <c r="E57" s="58">
        <f t="shared" si="7"/>
        <v>92591.35</v>
      </c>
      <c r="F57" s="58">
        <v>92591.35</v>
      </c>
      <c r="G57" s="58" t="s">
        <v>23</v>
      </c>
      <c r="H57" s="59" t="s">
        <v>23</v>
      </c>
      <c r="I57" s="58">
        <f t="shared" si="8"/>
        <v>91204.69</v>
      </c>
      <c r="J57" s="59" t="s">
        <v>23</v>
      </c>
      <c r="K57" s="59" t="s">
        <v>23</v>
      </c>
    </row>
    <row r="58" spans="1:19" ht="13.8">
      <c r="A58" s="126"/>
      <c r="B58" s="5" t="s">
        <v>38</v>
      </c>
      <c r="C58" s="5"/>
      <c r="D58" s="6" t="s">
        <v>18</v>
      </c>
      <c r="E58" s="58">
        <f t="shared" si="7"/>
        <v>112171.32</v>
      </c>
      <c r="F58" s="58">
        <v>112171.32</v>
      </c>
      <c r="G58" s="58" t="s">
        <v>23</v>
      </c>
      <c r="H58" s="59" t="s">
        <v>23</v>
      </c>
      <c r="I58" s="58">
        <f t="shared" si="8"/>
        <v>110784.66</v>
      </c>
      <c r="J58" s="59" t="s">
        <v>23</v>
      </c>
      <c r="K58" s="59" t="s">
        <v>23</v>
      </c>
    </row>
    <row r="59" spans="1:19" ht="13.8">
      <c r="A59" s="126"/>
      <c r="B59" s="5" t="s">
        <v>54</v>
      </c>
      <c r="C59" s="5"/>
      <c r="D59" s="6" t="s">
        <v>18</v>
      </c>
      <c r="E59" s="58">
        <f t="shared" si="7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8"/>
        <v>65094.739999999991</v>
      </c>
      <c r="J59" s="59" t="s">
        <v>23</v>
      </c>
      <c r="K59" s="59" t="s">
        <v>23</v>
      </c>
    </row>
    <row r="60" spans="1:19" ht="13.8">
      <c r="A60" s="126"/>
      <c r="B60" s="5" t="s">
        <v>55</v>
      </c>
      <c r="C60" s="5"/>
      <c r="D60" s="6" t="s">
        <v>18</v>
      </c>
      <c r="E60" s="58">
        <f t="shared" si="7"/>
        <v>80305.41</v>
      </c>
      <c r="F60" s="58">
        <v>80305.41</v>
      </c>
      <c r="G60" s="58" t="s">
        <v>23</v>
      </c>
      <c r="H60" s="59" t="s">
        <v>23</v>
      </c>
      <c r="I60" s="58">
        <f t="shared" si="8"/>
        <v>78918.75</v>
      </c>
      <c r="J60" s="59" t="s">
        <v>23</v>
      </c>
      <c r="K60" s="59" t="s">
        <v>23</v>
      </c>
    </row>
    <row r="61" spans="1:19" ht="13.8">
      <c r="A61" s="126"/>
      <c r="B61" s="5" t="s">
        <v>48</v>
      </c>
      <c r="C61" s="5"/>
      <c r="D61" s="6" t="s">
        <v>18</v>
      </c>
      <c r="E61" s="58">
        <f t="shared" si="7"/>
        <v>174992.98</v>
      </c>
      <c r="F61" s="58">
        <v>174992.98</v>
      </c>
      <c r="G61" s="58" t="s">
        <v>23</v>
      </c>
      <c r="H61" s="59" t="s">
        <v>23</v>
      </c>
      <c r="I61" s="58">
        <f t="shared" si="8"/>
        <v>173606.32</v>
      </c>
      <c r="J61" s="59" t="s">
        <v>23</v>
      </c>
      <c r="K61" s="59" t="s">
        <v>23</v>
      </c>
    </row>
    <row r="62" spans="1:19" ht="13.8">
      <c r="A62" s="126"/>
      <c r="B62" s="5" t="s">
        <v>49</v>
      </c>
      <c r="C62" s="5"/>
      <c r="D62" s="6" t="s">
        <v>18</v>
      </c>
      <c r="E62" s="58">
        <f t="shared" si="7"/>
        <v>211528.74</v>
      </c>
      <c r="F62" s="58">
        <v>211528.74</v>
      </c>
      <c r="G62" s="58" t="s">
        <v>23</v>
      </c>
      <c r="H62" s="59" t="s">
        <v>23</v>
      </c>
      <c r="I62" s="58">
        <f t="shared" si="8"/>
        <v>210142.07999999999</v>
      </c>
      <c r="J62" s="59" t="s">
        <v>23</v>
      </c>
      <c r="K62" s="59" t="s">
        <v>23</v>
      </c>
    </row>
    <row r="63" spans="1:19" ht="13.8">
      <c r="A63" s="126"/>
      <c r="B63" s="5" t="s">
        <v>56</v>
      </c>
      <c r="C63" s="5"/>
      <c r="D63" s="6" t="s">
        <v>18</v>
      </c>
      <c r="E63" s="58">
        <f t="shared" si="7"/>
        <v>178902.16</v>
      </c>
      <c r="F63" s="58">
        <v>178902.16</v>
      </c>
      <c r="G63" s="58" t="s">
        <v>23</v>
      </c>
      <c r="H63" s="59" t="s">
        <v>23</v>
      </c>
      <c r="I63" s="58">
        <f t="shared" si="8"/>
        <v>177515.5</v>
      </c>
      <c r="J63" s="59" t="s">
        <v>23</v>
      </c>
      <c r="K63" s="59" t="s">
        <v>23</v>
      </c>
    </row>
    <row r="64" spans="1:19" ht="13.8">
      <c r="A64" s="126"/>
      <c r="B64" s="5" t="s">
        <v>57</v>
      </c>
      <c r="C64" s="5"/>
      <c r="D64" s="6" t="s">
        <v>18</v>
      </c>
      <c r="E64" s="58">
        <f t="shared" si="7"/>
        <v>216484.28</v>
      </c>
      <c r="F64" s="58">
        <v>216484.28</v>
      </c>
      <c r="G64" s="58" t="s">
        <v>23</v>
      </c>
      <c r="H64" s="59" t="s">
        <v>23</v>
      </c>
      <c r="I64" s="58">
        <f t="shared" si="8"/>
        <v>215097.62</v>
      </c>
      <c r="J64" s="59" t="s">
        <v>23</v>
      </c>
      <c r="K64" s="59" t="s">
        <v>23</v>
      </c>
    </row>
    <row r="65" spans="1:14" ht="13.8">
      <c r="A65" s="126"/>
      <c r="B65" s="5" t="s">
        <v>50</v>
      </c>
      <c r="C65" s="5"/>
      <c r="D65" s="6" t="s">
        <v>18</v>
      </c>
      <c r="E65" s="58">
        <f t="shared" si="7"/>
        <v>99770.92</v>
      </c>
      <c r="F65" s="58">
        <v>99770.92</v>
      </c>
      <c r="G65" s="58" t="s">
        <v>23</v>
      </c>
      <c r="H65" s="59" t="s">
        <v>23</v>
      </c>
      <c r="I65" s="58">
        <f t="shared" si="8"/>
        <v>98384.26</v>
      </c>
      <c r="J65" s="59" t="s">
        <v>23</v>
      </c>
      <c r="K65" s="59" t="s">
        <v>23</v>
      </c>
    </row>
    <row r="66" spans="1:14" ht="13.8">
      <c r="A66" s="126"/>
      <c r="B66" s="5" t="s">
        <v>51</v>
      </c>
      <c r="C66" s="5"/>
      <c r="D66" s="6" t="s">
        <v>18</v>
      </c>
      <c r="E66" s="58">
        <f t="shared" si="7"/>
        <v>120892.18</v>
      </c>
      <c r="F66" s="58">
        <v>120892.18</v>
      </c>
      <c r="G66" s="58" t="s">
        <v>23</v>
      </c>
      <c r="H66" s="59" t="s">
        <v>23</v>
      </c>
      <c r="I66" s="58">
        <f t="shared" si="8"/>
        <v>119505.51999999999</v>
      </c>
      <c r="J66" s="59" t="s">
        <v>23</v>
      </c>
      <c r="K66" s="59" t="s">
        <v>23</v>
      </c>
    </row>
    <row r="67" spans="1:14" ht="13.8">
      <c r="A67" s="126"/>
      <c r="B67" s="5" t="s">
        <v>110</v>
      </c>
      <c r="C67" s="5"/>
      <c r="D67" s="6" t="s">
        <v>18</v>
      </c>
      <c r="E67" s="58">
        <f t="shared" si="7"/>
        <v>297678.93</v>
      </c>
      <c r="F67" s="58">
        <v>297678.93</v>
      </c>
      <c r="G67" s="58" t="s">
        <v>23</v>
      </c>
      <c r="H67" s="59" t="s">
        <v>23</v>
      </c>
      <c r="I67" s="58">
        <f t="shared" si="8"/>
        <v>296292.27</v>
      </c>
      <c r="J67" s="59" t="s">
        <v>23</v>
      </c>
      <c r="K67" s="59" t="s">
        <v>23</v>
      </c>
    </row>
    <row r="68" spans="1:14" ht="13.8">
      <c r="A68" s="126"/>
      <c r="B68" s="5" t="s">
        <v>111</v>
      </c>
      <c r="C68" s="5"/>
      <c r="D68" s="6" t="s">
        <v>18</v>
      </c>
      <c r="E68" s="58">
        <f t="shared" si="7"/>
        <v>361287.38</v>
      </c>
      <c r="F68" s="58">
        <v>361287.38</v>
      </c>
      <c r="G68" s="58" t="s">
        <v>23</v>
      </c>
      <c r="H68" s="59" t="s">
        <v>23</v>
      </c>
      <c r="I68" s="58">
        <f t="shared" si="8"/>
        <v>359900.72000000003</v>
      </c>
      <c r="J68" s="59" t="s">
        <v>23</v>
      </c>
      <c r="K68" s="59" t="s">
        <v>23</v>
      </c>
    </row>
    <row r="69" spans="1:14" ht="13.8">
      <c r="A69" s="126"/>
      <c r="B69" s="5" t="s">
        <v>39</v>
      </c>
      <c r="C69" s="5"/>
      <c r="D69" s="6" t="s">
        <v>18</v>
      </c>
      <c r="E69" s="58">
        <f t="shared" si="7"/>
        <v>23678.79</v>
      </c>
      <c r="F69" s="58">
        <v>23678.79</v>
      </c>
      <c r="G69" s="58" t="s">
        <v>23</v>
      </c>
      <c r="H69" s="59" t="s">
        <v>23</v>
      </c>
      <c r="I69" s="58">
        <f t="shared" si="8"/>
        <v>22292.13</v>
      </c>
      <c r="J69" s="59" t="s">
        <v>23</v>
      </c>
      <c r="K69" s="59" t="s">
        <v>23</v>
      </c>
    </row>
    <row r="70" spans="1:14" ht="13.8">
      <c r="A70" s="126"/>
      <c r="B70" s="5" t="s">
        <v>40</v>
      </c>
      <c r="C70" s="5"/>
      <c r="D70" s="6" t="s">
        <v>18</v>
      </c>
      <c r="E70" s="58">
        <f t="shared" si="7"/>
        <v>28464.5</v>
      </c>
      <c r="F70" s="58">
        <v>28464.5</v>
      </c>
      <c r="G70" s="58" t="s">
        <v>23</v>
      </c>
      <c r="H70" s="59" t="s">
        <v>23</v>
      </c>
      <c r="I70" s="58">
        <f t="shared" si="8"/>
        <v>27077.84</v>
      </c>
      <c r="J70" s="59" t="s">
        <v>23</v>
      </c>
      <c r="K70" s="59" t="s">
        <v>23</v>
      </c>
    </row>
    <row r="71" spans="1:14" ht="63" customHeight="1">
      <c r="A71" s="126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5" customHeight="1">
      <c r="A72" s="126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>
      <c r="A73" s="126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2" customHeight="1">
      <c r="A74" s="127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" customHeight="1">
      <c r="A75" s="135" t="s">
        <v>74</v>
      </c>
      <c r="B75" s="12" t="s">
        <v>17</v>
      </c>
      <c r="C75" s="12"/>
      <c r="D75" s="4" t="s">
        <v>18</v>
      </c>
      <c r="E75" s="11">
        <f t="shared" ref="E75:E80" si="9">SUM(F75:H75)</f>
        <v>54702.01</v>
      </c>
      <c r="F75" s="11">
        <f>34483.05+1649.65</f>
        <v>36132.700000000004</v>
      </c>
      <c r="G75" s="11">
        <f t="shared" ref="G75:G80" si="10">4001.99</f>
        <v>4001.99</v>
      </c>
      <c r="H75" s="59">
        <v>14567.32</v>
      </c>
      <c r="I75" s="72">
        <f>34483.05-1577.47</f>
        <v>32905.58</v>
      </c>
      <c r="J75" s="61">
        <v>3432.48</v>
      </c>
      <c r="K75" s="61">
        <v>299.14999999999998</v>
      </c>
      <c r="L75" s="62" t="s">
        <v>87</v>
      </c>
      <c r="M75" s="62"/>
      <c r="N75" s="62"/>
    </row>
    <row r="76" spans="1:14" ht="52.2" customHeight="1">
      <c r="A76" s="136"/>
      <c r="B76" s="12" t="s">
        <v>17</v>
      </c>
      <c r="C76" s="12"/>
      <c r="D76" s="4" t="s">
        <v>18</v>
      </c>
      <c r="E76" s="11">
        <f t="shared" si="9"/>
        <v>54702.01</v>
      </c>
      <c r="F76" s="11">
        <f>34483.05+1649.65</f>
        <v>36132.700000000004</v>
      </c>
      <c r="G76" s="11">
        <f t="shared" si="10"/>
        <v>4001.99</v>
      </c>
      <c r="H76" s="59">
        <v>14567.32</v>
      </c>
      <c r="I76" s="72">
        <f>34483.05-1577.47</f>
        <v>32905.58</v>
      </c>
      <c r="J76" s="61">
        <v>3432.48</v>
      </c>
      <c r="K76" s="61">
        <v>299.14999999999998</v>
      </c>
      <c r="L76" s="62" t="s">
        <v>88</v>
      </c>
      <c r="M76" s="62"/>
      <c r="N76" s="62"/>
    </row>
    <row r="77" spans="1:14" ht="49.95" customHeight="1">
      <c r="A77" s="136"/>
      <c r="B77" s="12" t="s">
        <v>17</v>
      </c>
      <c r="C77" s="12"/>
      <c r="D77" s="4" t="s">
        <v>18</v>
      </c>
      <c r="E77" s="11">
        <f t="shared" si="9"/>
        <v>54702.01</v>
      </c>
      <c r="F77" s="11">
        <f>34483.05+1649.65</f>
        <v>36132.700000000004</v>
      </c>
      <c r="G77" s="11">
        <f t="shared" si="10"/>
        <v>4001.99</v>
      </c>
      <c r="H77" s="59">
        <v>14567.32</v>
      </c>
      <c r="I77" s="72">
        <f>34483.05-1577.47</f>
        <v>32905.58</v>
      </c>
      <c r="J77" s="61">
        <v>3432.48</v>
      </c>
      <c r="K77" s="61">
        <v>299.14999999999998</v>
      </c>
      <c r="L77" s="62" t="s">
        <v>89</v>
      </c>
      <c r="M77" s="62"/>
      <c r="N77" s="62"/>
    </row>
    <row r="78" spans="1:14" ht="41.4" customHeight="1">
      <c r="A78" s="136"/>
      <c r="B78" s="12" t="s">
        <v>17</v>
      </c>
      <c r="C78" s="12"/>
      <c r="D78" s="4" t="s">
        <v>18</v>
      </c>
      <c r="E78" s="11">
        <f t="shared" si="9"/>
        <v>54702.01</v>
      </c>
      <c r="F78" s="11">
        <f>34483.05+1649.65</f>
        <v>36132.700000000004</v>
      </c>
      <c r="G78" s="11">
        <f t="shared" si="10"/>
        <v>4001.99</v>
      </c>
      <c r="H78" s="59">
        <v>14567.32</v>
      </c>
      <c r="I78" s="72">
        <f>34483.05-1577.47</f>
        <v>32905.58</v>
      </c>
      <c r="J78" s="61">
        <v>3432.48</v>
      </c>
      <c r="K78" s="61">
        <v>299.14999999999998</v>
      </c>
      <c r="L78" s="62" t="s">
        <v>90</v>
      </c>
      <c r="M78" s="62"/>
      <c r="N78" s="62"/>
    </row>
    <row r="79" spans="1:14" ht="43.2" customHeight="1">
      <c r="A79" s="136"/>
      <c r="B79" s="12" t="s">
        <v>17</v>
      </c>
      <c r="C79" s="12"/>
      <c r="D79" s="4" t="s">
        <v>18</v>
      </c>
      <c r="E79" s="11">
        <f t="shared" si="9"/>
        <v>54702.01</v>
      </c>
      <c r="F79" s="11">
        <f>34483.05+1649.65</f>
        <v>36132.700000000004</v>
      </c>
      <c r="G79" s="11">
        <f t="shared" si="10"/>
        <v>4001.99</v>
      </c>
      <c r="H79" s="59">
        <v>14567.32</v>
      </c>
      <c r="I79" s="72">
        <f>34483.05-1577.47</f>
        <v>32905.58</v>
      </c>
      <c r="J79" s="61">
        <v>3432.48</v>
      </c>
      <c r="K79" s="61">
        <v>299.14999999999998</v>
      </c>
      <c r="L79" s="62" t="s">
        <v>85</v>
      </c>
      <c r="M79" s="62"/>
      <c r="N79" s="62"/>
    </row>
    <row r="80" spans="1:14" ht="44.4" customHeight="1">
      <c r="A80" s="136"/>
      <c r="B80" s="12" t="s">
        <v>24</v>
      </c>
      <c r="C80" s="12"/>
      <c r="D80" s="4" t="s">
        <v>18</v>
      </c>
      <c r="E80" s="11">
        <f t="shared" si="9"/>
        <v>58138.11</v>
      </c>
      <c r="F80" s="11">
        <f>37919.15+1649.65</f>
        <v>39568.800000000003</v>
      </c>
      <c r="G80" s="11">
        <f t="shared" si="10"/>
        <v>4001.99</v>
      </c>
      <c r="H80" s="59">
        <v>14567.32</v>
      </c>
      <c r="I80" s="72">
        <f>37919.15-1577.47</f>
        <v>36341.68</v>
      </c>
      <c r="J80" s="61">
        <v>3432.48</v>
      </c>
      <c r="K80" s="61">
        <v>299.14999999999998</v>
      </c>
      <c r="L80" s="62" t="s">
        <v>85</v>
      </c>
      <c r="M80" s="62"/>
      <c r="N80" s="62"/>
    </row>
    <row r="81" spans="1:23" ht="58.2" hidden="1" customHeight="1">
      <c r="A81" s="136"/>
      <c r="B81" s="12" t="s">
        <v>17</v>
      </c>
      <c r="C81" s="12"/>
      <c r="D81" s="4"/>
      <c r="E81" s="11"/>
      <c r="F81" s="11"/>
      <c r="G81" s="11"/>
      <c r="H81" s="59"/>
      <c r="I81" s="72"/>
      <c r="J81" s="61"/>
      <c r="K81" s="61"/>
      <c r="L81" s="62"/>
      <c r="M81" s="62"/>
      <c r="N81" s="62"/>
    </row>
    <row r="82" spans="1:23" ht="70.95" customHeight="1">
      <c r="A82" s="136"/>
      <c r="B82" s="12" t="s">
        <v>19</v>
      </c>
      <c r="C82" s="12"/>
      <c r="D82" s="4" t="s">
        <v>20</v>
      </c>
      <c r="E82" s="15" t="s">
        <v>139</v>
      </c>
      <c r="F82" s="11" t="s">
        <v>112</v>
      </c>
      <c r="G82" s="11" t="s">
        <v>104</v>
      </c>
      <c r="H82" s="39" t="s">
        <v>141</v>
      </c>
      <c r="I82" s="72" t="s">
        <v>113</v>
      </c>
      <c r="J82" s="39" t="s">
        <v>142</v>
      </c>
      <c r="K82" s="39" t="s">
        <v>143</v>
      </c>
      <c r="L82" s="62" t="s">
        <v>86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" customHeight="1">
      <c r="A83" s="136"/>
      <c r="B83" s="50" t="s">
        <v>21</v>
      </c>
      <c r="C83" s="50"/>
      <c r="D83" s="27" t="s">
        <v>20</v>
      </c>
      <c r="E83" s="39" t="s">
        <v>140</v>
      </c>
      <c r="F83" s="11" t="s">
        <v>114</v>
      </c>
      <c r="G83" s="11" t="s">
        <v>104</v>
      </c>
      <c r="H83" s="39" t="s">
        <v>141</v>
      </c>
      <c r="I83" s="72" t="s">
        <v>115</v>
      </c>
      <c r="J83" s="39" t="s">
        <v>142</v>
      </c>
      <c r="K83" s="39" t="s">
        <v>143</v>
      </c>
    </row>
    <row r="84" spans="1:23" ht="70.95" customHeight="1">
      <c r="A84" s="136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3.8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3.8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1">F86-1386.66</f>
        <v>82564.42</v>
      </c>
      <c r="J86" s="59" t="s">
        <v>23</v>
      </c>
      <c r="K86" s="59" t="s">
        <v>23</v>
      </c>
    </row>
    <row r="87" spans="1:23" ht="13.8">
      <c r="A87" s="63"/>
      <c r="B87" s="5" t="s">
        <v>46</v>
      </c>
      <c r="C87" s="5"/>
      <c r="D87" s="6" t="s">
        <v>18</v>
      </c>
      <c r="E87" s="58">
        <f t="shared" ref="E87:E96" si="12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1"/>
        <v>24328.3</v>
      </c>
      <c r="J87" s="59" t="s">
        <v>23</v>
      </c>
      <c r="K87" s="59" t="s">
        <v>23</v>
      </c>
    </row>
    <row r="88" spans="1:23" ht="13.8">
      <c r="A88" s="63"/>
      <c r="B88" s="5" t="s">
        <v>47</v>
      </c>
      <c r="C88" s="5"/>
      <c r="D88" s="6" t="s">
        <v>18</v>
      </c>
      <c r="E88" s="58">
        <f t="shared" si="12"/>
        <v>30937.81</v>
      </c>
      <c r="F88" s="58">
        <v>30937.81</v>
      </c>
      <c r="G88" s="58" t="s">
        <v>23</v>
      </c>
      <c r="H88" s="59" t="s">
        <v>23</v>
      </c>
      <c r="I88" s="58">
        <f t="shared" si="11"/>
        <v>29551.15</v>
      </c>
      <c r="J88" s="59" t="s">
        <v>23</v>
      </c>
      <c r="K88" s="59" t="s">
        <v>23</v>
      </c>
    </row>
    <row r="89" spans="1:23" ht="13.8">
      <c r="A89" s="63"/>
      <c r="B89" s="5" t="s">
        <v>37</v>
      </c>
      <c r="C89" s="5"/>
      <c r="D89" s="6" t="s">
        <v>18</v>
      </c>
      <c r="E89" s="58">
        <f t="shared" si="12"/>
        <v>92591.35</v>
      </c>
      <c r="F89" s="58">
        <v>92591.35</v>
      </c>
      <c r="G89" s="58" t="s">
        <v>23</v>
      </c>
      <c r="H89" s="59" t="s">
        <v>23</v>
      </c>
      <c r="I89" s="58">
        <f t="shared" si="11"/>
        <v>91204.69</v>
      </c>
      <c r="J89" s="59" t="s">
        <v>23</v>
      </c>
      <c r="K89" s="59" t="s">
        <v>23</v>
      </c>
    </row>
    <row r="90" spans="1:23" ht="13.8">
      <c r="A90" s="63"/>
      <c r="B90" s="5" t="s">
        <v>38</v>
      </c>
      <c r="C90" s="5"/>
      <c r="D90" s="6" t="s">
        <v>18</v>
      </c>
      <c r="E90" s="58">
        <f t="shared" si="12"/>
        <v>112171.32</v>
      </c>
      <c r="F90" s="58">
        <v>112171.32</v>
      </c>
      <c r="G90" s="58" t="s">
        <v>23</v>
      </c>
      <c r="H90" s="59" t="s">
        <v>23</v>
      </c>
      <c r="I90" s="58">
        <f t="shared" si="11"/>
        <v>110784.66</v>
      </c>
      <c r="J90" s="59" t="s">
        <v>23</v>
      </c>
      <c r="K90" s="59" t="s">
        <v>23</v>
      </c>
    </row>
    <row r="91" spans="1:23" ht="13.8">
      <c r="A91" s="63"/>
      <c r="B91" s="5" t="s">
        <v>48</v>
      </c>
      <c r="C91" s="5"/>
      <c r="D91" s="6" t="s">
        <v>18</v>
      </c>
      <c r="E91" s="58">
        <f t="shared" si="12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1"/>
        <v>263416.94</v>
      </c>
      <c r="J91" s="59" t="s">
        <v>23</v>
      </c>
      <c r="K91" s="59" t="s">
        <v>23</v>
      </c>
    </row>
    <row r="92" spans="1:23" ht="13.8">
      <c r="A92" s="63"/>
      <c r="B92" s="5" t="s">
        <v>49</v>
      </c>
      <c r="C92" s="5"/>
      <c r="D92" s="6" t="s">
        <v>18</v>
      </c>
      <c r="E92" s="58">
        <f t="shared" si="12"/>
        <v>320239.73</v>
      </c>
      <c r="F92" s="58">
        <v>320239.73</v>
      </c>
      <c r="G92" s="58" t="s">
        <v>23</v>
      </c>
      <c r="H92" s="59" t="s">
        <v>23</v>
      </c>
      <c r="I92" s="58">
        <f t="shared" si="11"/>
        <v>318853.07</v>
      </c>
      <c r="J92" s="59" t="s">
        <v>23</v>
      </c>
      <c r="K92" s="59" t="s">
        <v>23</v>
      </c>
    </row>
    <row r="93" spans="1:23" ht="13.8">
      <c r="A93" s="63"/>
      <c r="B93" s="5" t="s">
        <v>50</v>
      </c>
      <c r="C93" s="5"/>
      <c r="D93" s="6" t="s">
        <v>18</v>
      </c>
      <c r="E93" s="58">
        <f t="shared" si="12"/>
        <v>32894.53</v>
      </c>
      <c r="F93" s="58">
        <v>32894.53</v>
      </c>
      <c r="G93" s="58" t="s">
        <v>23</v>
      </c>
      <c r="H93" s="59" t="s">
        <v>23</v>
      </c>
      <c r="I93" s="58">
        <f t="shared" si="11"/>
        <v>31507.87</v>
      </c>
      <c r="J93" s="59" t="s">
        <v>23</v>
      </c>
      <c r="K93" s="59" t="s">
        <v>23</v>
      </c>
    </row>
    <row r="94" spans="1:23" ht="13.8">
      <c r="A94" s="63"/>
      <c r="B94" s="5" t="s">
        <v>51</v>
      </c>
      <c r="C94" s="5"/>
      <c r="D94" s="6" t="s">
        <v>18</v>
      </c>
      <c r="E94" s="58">
        <f t="shared" si="12"/>
        <v>39658.68</v>
      </c>
      <c r="F94" s="58">
        <v>39658.68</v>
      </c>
      <c r="G94" s="58" t="s">
        <v>23</v>
      </c>
      <c r="H94" s="59" t="s">
        <v>23</v>
      </c>
      <c r="I94" s="58">
        <f t="shared" si="11"/>
        <v>38272.019999999997</v>
      </c>
      <c r="J94" s="59" t="s">
        <v>23</v>
      </c>
      <c r="K94" s="59" t="s">
        <v>23</v>
      </c>
    </row>
    <row r="95" spans="1:23" ht="13.8">
      <c r="A95" s="63"/>
      <c r="B95" s="5" t="s">
        <v>39</v>
      </c>
      <c r="C95" s="5"/>
      <c r="D95" s="6" t="s">
        <v>18</v>
      </c>
      <c r="E95" s="58">
        <f t="shared" si="12"/>
        <v>23678.79</v>
      </c>
      <c r="F95" s="58">
        <v>23678.79</v>
      </c>
      <c r="G95" s="58" t="s">
        <v>23</v>
      </c>
      <c r="H95" s="59" t="s">
        <v>23</v>
      </c>
      <c r="I95" s="58">
        <f t="shared" si="11"/>
        <v>22292.13</v>
      </c>
      <c r="J95" s="59" t="s">
        <v>23</v>
      </c>
      <c r="K95" s="59" t="s">
        <v>23</v>
      </c>
    </row>
    <row r="96" spans="1:23" ht="13.8">
      <c r="A96" s="63"/>
      <c r="B96" s="5" t="s">
        <v>40</v>
      </c>
      <c r="C96" s="5"/>
      <c r="D96" s="6" t="s">
        <v>18</v>
      </c>
      <c r="E96" s="58">
        <f t="shared" si="12"/>
        <v>28464.5</v>
      </c>
      <c r="F96" s="58">
        <v>28464.5</v>
      </c>
      <c r="G96" s="58" t="s">
        <v>23</v>
      </c>
      <c r="H96" s="59" t="s">
        <v>23</v>
      </c>
      <c r="I96" s="58">
        <f t="shared" si="11"/>
        <v>27077.84</v>
      </c>
      <c r="J96" s="59" t="s">
        <v>23</v>
      </c>
      <c r="K96" s="59" t="s">
        <v>23</v>
      </c>
    </row>
    <row r="97" spans="1:19" ht="63.6" customHeight="1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55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" customHeight="1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2" customHeight="1">
      <c r="A101" s="125" t="s">
        <v>75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72">
        <f>41240.72-1577.47</f>
        <v>39663.25</v>
      </c>
      <c r="J101" s="61">
        <v>3435.98</v>
      </c>
      <c r="K101" s="61">
        <v>600.9</v>
      </c>
      <c r="L101" s="62" t="s">
        <v>87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2" customHeight="1">
      <c r="A102" s="126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72">
        <f>41240.72-1577.47</f>
        <v>39663.25</v>
      </c>
      <c r="J102" s="61">
        <v>3435.98</v>
      </c>
      <c r="K102" s="61">
        <v>600.9</v>
      </c>
      <c r="L102" s="62" t="s">
        <v>88</v>
      </c>
      <c r="M102" s="62"/>
      <c r="N102" s="62"/>
    </row>
    <row r="103" spans="1:19" ht="45" customHeight="1">
      <c r="A103" s="126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72">
        <f>41240.72-1577.47</f>
        <v>39663.25</v>
      </c>
      <c r="J103" s="61">
        <v>3435.98</v>
      </c>
      <c r="K103" s="61">
        <v>600.9</v>
      </c>
      <c r="L103" s="62" t="s">
        <v>89</v>
      </c>
      <c r="M103" s="62"/>
      <c r="N103" s="62"/>
    </row>
    <row r="104" spans="1:19" ht="45.6" customHeight="1">
      <c r="A104" s="126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72">
        <f>41240.72-1577.47</f>
        <v>39663.25</v>
      </c>
      <c r="J104" s="61">
        <v>3435.98</v>
      </c>
      <c r="K104" s="61">
        <v>600.9</v>
      </c>
      <c r="L104" s="62" t="s">
        <v>90</v>
      </c>
      <c r="M104" s="62"/>
      <c r="N104" s="62"/>
    </row>
    <row r="105" spans="1:19" ht="45.6" customHeight="1">
      <c r="A105" s="126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72">
        <f>41240.72-1577.47</f>
        <v>39663.25</v>
      </c>
      <c r="J105" s="61">
        <v>3435.98</v>
      </c>
      <c r="K105" s="61">
        <v>600.9</v>
      </c>
      <c r="L105" s="62" t="s">
        <v>85</v>
      </c>
      <c r="M105" s="62"/>
      <c r="N105" s="62"/>
    </row>
    <row r="106" spans="1:19" ht="99.6" customHeight="1">
      <c r="A106" s="126"/>
      <c r="B106" s="12" t="s">
        <v>19</v>
      </c>
      <c r="C106" s="12"/>
      <c r="D106" s="4" t="s">
        <v>20</v>
      </c>
      <c r="E106" s="11" t="s">
        <v>124</v>
      </c>
      <c r="F106" s="11" t="s">
        <v>116</v>
      </c>
      <c r="G106" s="11" t="s">
        <v>104</v>
      </c>
      <c r="H106" s="39" t="s">
        <v>144</v>
      </c>
      <c r="I106" s="15" t="s">
        <v>117</v>
      </c>
      <c r="J106" s="39" t="s">
        <v>145</v>
      </c>
      <c r="K106" s="39" t="s">
        <v>146</v>
      </c>
      <c r="L106" s="62" t="s">
        <v>86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>
      <c r="A107" s="126"/>
      <c r="B107" s="12" t="s">
        <v>21</v>
      </c>
      <c r="C107" s="12"/>
      <c r="D107" s="4" t="s">
        <v>20</v>
      </c>
      <c r="E107" s="11" t="s">
        <v>125</v>
      </c>
      <c r="F107" s="11" t="s">
        <v>118</v>
      </c>
      <c r="G107" s="11" t="s">
        <v>104</v>
      </c>
      <c r="H107" s="39" t="s">
        <v>144</v>
      </c>
      <c r="I107" s="15" t="s">
        <v>119</v>
      </c>
      <c r="J107" s="39" t="s">
        <v>145</v>
      </c>
      <c r="K107" s="39" t="s">
        <v>146</v>
      </c>
      <c r="R107" s="7">
        <f>1998.78+4001.99+45178.25</f>
        <v>51179.02</v>
      </c>
    </row>
    <row r="108" spans="1:19" ht="75" customHeight="1">
      <c r="A108" s="126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95" customHeight="1">
      <c r="A109" s="126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95" customHeight="1">
      <c r="A110" s="126"/>
      <c r="B110" s="5" t="s">
        <v>38</v>
      </c>
      <c r="C110" s="5"/>
      <c r="D110" s="6" t="s">
        <v>18</v>
      </c>
      <c r="E110" s="58">
        <f t="shared" ref="E110:E112" si="13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4">F110-1386.66</f>
        <v>110784.66</v>
      </c>
      <c r="J110" s="59" t="s">
        <v>23</v>
      </c>
      <c r="K110" s="59" t="s">
        <v>23</v>
      </c>
    </row>
    <row r="111" spans="1:19" ht="16.95" customHeight="1">
      <c r="A111" s="126"/>
      <c r="B111" s="5" t="s">
        <v>39</v>
      </c>
      <c r="C111" s="5"/>
      <c r="D111" s="6" t="s">
        <v>18</v>
      </c>
      <c r="E111" s="58">
        <f t="shared" si="13"/>
        <v>23678.79</v>
      </c>
      <c r="F111" s="58">
        <v>23678.79</v>
      </c>
      <c r="G111" s="58" t="s">
        <v>23</v>
      </c>
      <c r="H111" s="59" t="s">
        <v>23</v>
      </c>
      <c r="I111" s="58">
        <f t="shared" si="14"/>
        <v>22292.13</v>
      </c>
      <c r="J111" s="59" t="s">
        <v>23</v>
      </c>
      <c r="K111" s="59" t="s">
        <v>23</v>
      </c>
    </row>
    <row r="112" spans="1:19" ht="16.95" customHeight="1">
      <c r="A112" s="126"/>
      <c r="B112" s="5" t="s">
        <v>40</v>
      </c>
      <c r="C112" s="5"/>
      <c r="D112" s="6" t="s">
        <v>18</v>
      </c>
      <c r="E112" s="58">
        <f t="shared" si="13"/>
        <v>28464.5</v>
      </c>
      <c r="F112" s="58">
        <v>28464.5</v>
      </c>
      <c r="G112" s="58" t="s">
        <v>23</v>
      </c>
      <c r="H112" s="59" t="s">
        <v>23</v>
      </c>
      <c r="I112" s="58">
        <f t="shared" si="14"/>
        <v>27077.84</v>
      </c>
      <c r="J112" s="59" t="s">
        <v>23</v>
      </c>
      <c r="K112" s="59" t="s">
        <v>23</v>
      </c>
    </row>
    <row r="113" spans="1:44" ht="63" customHeight="1">
      <c r="A113" s="126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44" ht="63" customHeight="1">
      <c r="A114" s="126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44" ht="62.4" customHeight="1">
      <c r="A115" s="126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44" ht="60.6" customHeight="1">
      <c r="A116" s="126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44" ht="74.400000000000006" customHeight="1">
      <c r="A117" s="127"/>
      <c r="B117" s="12" t="s">
        <v>120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44" ht="79.2" customHeight="1">
      <c r="A118" s="128" t="s">
        <v>76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44" ht="82.2" customHeight="1">
      <c r="A119" s="129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44" ht="84.6" customHeight="1">
      <c r="A120" s="130"/>
      <c r="B120" s="12" t="s">
        <v>80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85</v>
      </c>
      <c r="M120" s="62"/>
      <c r="N120" s="62"/>
    </row>
    <row r="121" spans="1:44" ht="26.4" customHeight="1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44" ht="30" customHeight="1">
      <c r="A122" s="73" t="s">
        <v>29</v>
      </c>
      <c r="B122" s="74"/>
      <c r="C122" s="74"/>
      <c r="D122" s="74"/>
      <c r="E122" s="74"/>
      <c r="F122" s="74"/>
      <c r="G122" s="74"/>
      <c r="H122" s="75"/>
      <c r="I122" s="74"/>
      <c r="J122" s="75"/>
      <c r="K122" s="75"/>
    </row>
    <row r="123" spans="1:44" ht="99" customHeight="1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  <c r="Y123" s="76" t="s">
        <v>149</v>
      </c>
      <c r="Z123" s="93" t="s">
        <v>150</v>
      </c>
      <c r="AA123" s="77" t="s">
        <v>151</v>
      </c>
      <c r="AB123" s="78" t="s">
        <v>152</v>
      </c>
      <c r="AC123" s="78" t="s">
        <v>153</v>
      </c>
      <c r="AD123" s="77" t="s">
        <v>154</v>
      </c>
      <c r="AE123" s="77" t="s">
        <v>155</v>
      </c>
      <c r="AF123" s="79" t="s">
        <v>156</v>
      </c>
      <c r="AG123" s="114" t="s">
        <v>157</v>
      </c>
      <c r="AH123" s="80" t="s">
        <v>158</v>
      </c>
      <c r="AI123" s="81" t="s">
        <v>159</v>
      </c>
      <c r="AJ123" s="81" t="s">
        <v>160</v>
      </c>
      <c r="AK123" s="82" t="s">
        <v>161</v>
      </c>
      <c r="AL123" s="82" t="s">
        <v>160</v>
      </c>
      <c r="AM123" s="83" t="s">
        <v>162</v>
      </c>
      <c r="AN123" s="115" t="s">
        <v>164</v>
      </c>
      <c r="AO123" s="115" t="s">
        <v>160</v>
      </c>
      <c r="AP123" s="116" t="s">
        <v>162</v>
      </c>
    </row>
    <row r="124" spans="1:44" ht="21.6" customHeight="1">
      <c r="A124" s="123" t="s">
        <v>8</v>
      </c>
      <c r="B124" s="123"/>
      <c r="C124" s="123"/>
      <c r="D124" s="123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108" t="s">
        <v>163</v>
      </c>
      <c r="AN124" s="84"/>
      <c r="AO124" s="84"/>
      <c r="AP124" s="108" t="s">
        <v>163</v>
      </c>
    </row>
    <row r="125" spans="1:44" ht="42" customHeight="1">
      <c r="A125" s="53" t="s">
        <v>132</v>
      </c>
      <c r="B125" s="53" t="s">
        <v>27</v>
      </c>
      <c r="C125" s="53"/>
      <c r="D125" s="38" t="s">
        <v>58</v>
      </c>
      <c r="E125" s="65">
        <f>'[1]ДОП ДДТ'!$I$11</f>
        <v>221.36449058657408</v>
      </c>
      <c r="F125" s="66" t="s">
        <v>148</v>
      </c>
      <c r="G125" s="66" t="s">
        <v>148</v>
      </c>
      <c r="H125" s="66" t="s">
        <v>148</v>
      </c>
      <c r="I125" s="65">
        <f>122.18+8.462+13.38+0.52</f>
        <v>144.542</v>
      </c>
      <c r="J125" s="66">
        <v>16.89</v>
      </c>
      <c r="K125" s="66">
        <v>1.24</v>
      </c>
      <c r="Y125" s="99">
        <f>211.4-12.4</f>
        <v>199</v>
      </c>
      <c r="Z125" s="110">
        <f>134.58-12.4</f>
        <v>122.18</v>
      </c>
      <c r="AA125" s="104">
        <v>11.78</v>
      </c>
      <c r="AB125" s="111">
        <v>16.89</v>
      </c>
      <c r="AC125" s="111">
        <v>1.24</v>
      </c>
      <c r="AD125" s="104">
        <v>0.247</v>
      </c>
      <c r="AE125" s="104">
        <f>43.26-1.31</f>
        <v>41.949999999999996</v>
      </c>
      <c r="AF125" s="104">
        <f>4.68+0.031</f>
        <v>4.7109999999999994</v>
      </c>
      <c r="AG125" s="113">
        <f t="shared" ref="AG125:AG130" si="15">AA125+AD125+AE125+AF125</f>
        <v>58.687999999999995</v>
      </c>
      <c r="AH125" s="107">
        <v>207.46</v>
      </c>
      <c r="AI125" s="105">
        <f>AH125-AB125-AC125-AG125</f>
        <v>130.642</v>
      </c>
      <c r="AJ125" s="106">
        <f>AI125-122.18</f>
        <v>8.4619999999999891</v>
      </c>
      <c r="AK125" s="105">
        <f>AM125-AB125-AC125-AG125</f>
        <v>144.02199999999999</v>
      </c>
      <c r="AL125" s="106">
        <f>AK125-AI125</f>
        <v>13.379999999999995</v>
      </c>
      <c r="AM125" s="109">
        <v>220.84</v>
      </c>
      <c r="AN125" s="105">
        <f t="shared" ref="AN125:AN130" si="16">AP125-AB125-AC125-AG125</f>
        <v>144.54200000000003</v>
      </c>
      <c r="AO125" s="106">
        <f t="shared" ref="AO125:AO130" si="17">AN125-AK125</f>
        <v>0.52000000000003865</v>
      </c>
      <c r="AP125" s="117">
        <v>221.36</v>
      </c>
      <c r="AQ125" s="97"/>
      <c r="AR125" s="97"/>
    </row>
    <row r="126" spans="1:44" ht="42" customHeight="1">
      <c r="A126" s="13" t="s">
        <v>65</v>
      </c>
      <c r="B126" s="13" t="s">
        <v>27</v>
      </c>
      <c r="C126" s="13"/>
      <c r="D126" s="17" t="s">
        <v>58</v>
      </c>
      <c r="E126" s="65">
        <f>'[1]ДОП ДДТ'!$I$12</f>
        <v>229.35202578172783</v>
      </c>
      <c r="F126" s="66" t="s">
        <v>148</v>
      </c>
      <c r="G126" s="66" t="s">
        <v>148</v>
      </c>
      <c r="H126" s="66" t="s">
        <v>148</v>
      </c>
      <c r="I126" s="15">
        <f>127.13+11.64+18.41+0.72</f>
        <v>157.89999999999998</v>
      </c>
      <c r="J126" s="45">
        <v>11.821999999999999</v>
      </c>
      <c r="K126" s="45">
        <v>0.86699999999999999</v>
      </c>
      <c r="Y126" s="100">
        <f>205.68-7.1</f>
        <v>198.58</v>
      </c>
      <c r="Z126" s="111">
        <v>127.13</v>
      </c>
      <c r="AA126" s="104">
        <v>6.53</v>
      </c>
      <c r="AB126" s="112">
        <v>11.824</v>
      </c>
      <c r="AC126" s="112">
        <v>0.86699999999999999</v>
      </c>
      <c r="AD126" s="104">
        <v>0.17299999999999999</v>
      </c>
      <c r="AE126" s="104">
        <f>55.97-5.93</f>
        <v>50.04</v>
      </c>
      <c r="AF126" s="104">
        <f>1.998+0.021</f>
        <v>2.0190000000000001</v>
      </c>
      <c r="AG126" s="113">
        <f t="shared" si="15"/>
        <v>58.762</v>
      </c>
      <c r="AH126" s="107">
        <v>210.22</v>
      </c>
      <c r="AI126" s="105">
        <f t="shared" ref="AI126:AI130" si="18">AH126-AB126-AC126-AG126</f>
        <v>138.767</v>
      </c>
      <c r="AJ126" s="105">
        <f>AI126-127.13</f>
        <v>11.637</v>
      </c>
      <c r="AK126" s="105">
        <f t="shared" ref="AK126:AK130" si="19">AM126-AB126-AC126-AG126</f>
        <v>157.17699999999999</v>
      </c>
      <c r="AL126" s="106">
        <f>AK126-AI126</f>
        <v>18.409999999999997</v>
      </c>
      <c r="AM126" s="109">
        <v>228.63</v>
      </c>
      <c r="AN126" s="105">
        <f t="shared" si="16"/>
        <v>157.89699999999999</v>
      </c>
      <c r="AO126" s="106">
        <f t="shared" si="17"/>
        <v>0.71999999999999886</v>
      </c>
      <c r="AP126" s="117">
        <v>229.35</v>
      </c>
      <c r="AQ126" s="97"/>
      <c r="AR126" s="97"/>
    </row>
    <row r="127" spans="1:44" ht="47.4" customHeight="1">
      <c r="A127" s="13" t="s">
        <v>66</v>
      </c>
      <c r="B127" s="13" t="s">
        <v>27</v>
      </c>
      <c r="C127" s="13"/>
      <c r="D127" s="17" t="s">
        <v>58</v>
      </c>
      <c r="E127" s="65">
        <f>'[1]ДОП ДДТ'!$I$13</f>
        <v>266.29347175972225</v>
      </c>
      <c r="F127" s="66" t="s">
        <v>148</v>
      </c>
      <c r="G127" s="66" t="s">
        <v>148</v>
      </c>
      <c r="H127" s="66" t="s">
        <v>148</v>
      </c>
      <c r="I127" s="15">
        <f>106.47+25.4+40.12+1.58</f>
        <v>173.57000000000002</v>
      </c>
      <c r="J127" s="39">
        <v>10.7</v>
      </c>
      <c r="K127" s="45">
        <v>0.78</v>
      </c>
      <c r="Y127" s="100">
        <f>202.73-3.53</f>
        <v>199.2</v>
      </c>
      <c r="Z127" s="111">
        <v>106.47</v>
      </c>
      <c r="AA127" s="104">
        <v>29.44</v>
      </c>
      <c r="AB127" s="111">
        <v>10.7</v>
      </c>
      <c r="AC127" s="112">
        <v>0.78</v>
      </c>
      <c r="AD127" s="104">
        <v>0.156</v>
      </c>
      <c r="AE127" s="104">
        <f>53.4-3.52</f>
        <v>49.879999999999995</v>
      </c>
      <c r="AF127" s="104">
        <f>1.75+0.019</f>
        <v>1.7689999999999999</v>
      </c>
      <c r="AG127" s="113">
        <f t="shared" si="15"/>
        <v>81.245000000000005</v>
      </c>
      <c r="AH127" s="107">
        <v>224.59</v>
      </c>
      <c r="AI127" s="105">
        <f t="shared" si="18"/>
        <v>131.86500000000001</v>
      </c>
      <c r="AJ127" s="105">
        <f>AI127-106.47</f>
        <v>25.39500000000001</v>
      </c>
      <c r="AK127" s="105">
        <f t="shared" si="19"/>
        <v>171.98499999999999</v>
      </c>
      <c r="AL127" s="106">
        <f>AK127-AI127</f>
        <v>40.119999999999976</v>
      </c>
      <c r="AM127" s="109">
        <v>264.70999999999998</v>
      </c>
      <c r="AN127" s="105">
        <f t="shared" si="16"/>
        <v>173.56500000000003</v>
      </c>
      <c r="AO127" s="106">
        <f t="shared" si="17"/>
        <v>1.5800000000000409</v>
      </c>
      <c r="AP127" s="117">
        <v>266.29000000000002</v>
      </c>
      <c r="AQ127" s="97"/>
      <c r="AR127" s="97"/>
    </row>
    <row r="128" spans="1:44" ht="51" customHeight="1">
      <c r="A128" s="13" t="s">
        <v>67</v>
      </c>
      <c r="B128" s="13" t="s">
        <v>27</v>
      </c>
      <c r="C128" s="13"/>
      <c r="D128" s="17" t="s">
        <v>58</v>
      </c>
      <c r="E128" s="65">
        <f>'[1]ДОП ДДТ'!$I$14</f>
        <v>238.19674809395428</v>
      </c>
      <c r="F128" s="66" t="s">
        <v>148</v>
      </c>
      <c r="G128" s="66" t="s">
        <v>148</v>
      </c>
      <c r="H128" s="66" t="s">
        <v>148</v>
      </c>
      <c r="I128" s="15">
        <f>120.68+14.93+23.61+0.93</f>
        <v>160.15000000000003</v>
      </c>
      <c r="J128" s="39">
        <v>12.38</v>
      </c>
      <c r="K128" s="45">
        <v>0.90800000000000003</v>
      </c>
      <c r="Y128" s="100">
        <f>200.98-2.25</f>
        <v>198.73</v>
      </c>
      <c r="Z128" s="111">
        <v>120.68</v>
      </c>
      <c r="AA128" s="104">
        <v>4.49</v>
      </c>
      <c r="AB128" s="111">
        <v>12.38</v>
      </c>
      <c r="AC128" s="112">
        <v>0.90800000000000003</v>
      </c>
      <c r="AD128" s="104">
        <v>0.18</v>
      </c>
      <c r="AE128" s="104">
        <f>60.25-3.13</f>
        <v>57.12</v>
      </c>
      <c r="AF128" s="104">
        <f>2.06+0.91</f>
        <v>2.97</v>
      </c>
      <c r="AG128" s="113">
        <f t="shared" si="15"/>
        <v>64.760000000000005</v>
      </c>
      <c r="AH128" s="107">
        <v>213.66</v>
      </c>
      <c r="AI128" s="105">
        <f t="shared" si="18"/>
        <v>135.61200000000002</v>
      </c>
      <c r="AJ128" s="105">
        <f>AI128-120.68</f>
        <v>14.932000000000016</v>
      </c>
      <c r="AK128" s="105">
        <f t="shared" si="19"/>
        <v>159.22200000000004</v>
      </c>
      <c r="AL128" s="106">
        <f t="shared" ref="AL128:AL130" si="20">AK128-AI128</f>
        <v>23.610000000000014</v>
      </c>
      <c r="AM128" s="109">
        <v>237.27</v>
      </c>
      <c r="AN128" s="105">
        <f t="shared" si="16"/>
        <v>160.15199999999999</v>
      </c>
      <c r="AO128" s="106">
        <f t="shared" si="17"/>
        <v>0.92999999999994998</v>
      </c>
      <c r="AP128" s="117">
        <v>238.2</v>
      </c>
      <c r="AQ128" s="97"/>
      <c r="AR128" s="97"/>
    </row>
    <row r="129" spans="1:44" ht="55.2" customHeight="1">
      <c r="A129" s="13" t="s">
        <v>68</v>
      </c>
      <c r="B129" s="13" t="s">
        <v>27</v>
      </c>
      <c r="C129" s="13"/>
      <c r="D129" s="17" t="s">
        <v>58</v>
      </c>
      <c r="E129" s="65">
        <f>'[1]ДОП ДДТ'!$I$15</f>
        <v>212.21322326729367</v>
      </c>
      <c r="F129" s="66" t="s">
        <v>148</v>
      </c>
      <c r="G129" s="66" t="s">
        <v>148</v>
      </c>
      <c r="H129" s="66" t="s">
        <v>148</v>
      </c>
      <c r="I129" s="15">
        <f>122+4.7+7.42+0.29</f>
        <v>134.41</v>
      </c>
      <c r="J129" s="39">
        <v>16.04</v>
      </c>
      <c r="K129" s="39">
        <v>1.18</v>
      </c>
      <c r="Y129" s="100">
        <f>220.3-20.5</f>
        <v>199.8</v>
      </c>
      <c r="Z129" s="111">
        <v>122</v>
      </c>
      <c r="AA129" s="104">
        <v>6.57</v>
      </c>
      <c r="AB129" s="111">
        <v>16.04</v>
      </c>
      <c r="AC129" s="111">
        <v>1.18</v>
      </c>
      <c r="AD129" s="104">
        <v>0.23</v>
      </c>
      <c r="AE129" s="104">
        <f>53.17-2.04</f>
        <v>51.13</v>
      </c>
      <c r="AF129" s="104">
        <f>2.62+0.03</f>
        <v>2.65</v>
      </c>
      <c r="AG129" s="113">
        <f t="shared" si="15"/>
        <v>60.580000000000005</v>
      </c>
      <c r="AH129" s="107">
        <v>204.5</v>
      </c>
      <c r="AI129" s="105">
        <f t="shared" si="18"/>
        <v>126.69999999999999</v>
      </c>
      <c r="AJ129" s="105">
        <f>AI129-122</f>
        <v>4.6999999999999886</v>
      </c>
      <c r="AK129" s="105">
        <f t="shared" si="19"/>
        <v>134.11999999999998</v>
      </c>
      <c r="AL129" s="106">
        <f t="shared" si="20"/>
        <v>7.4199999999999875</v>
      </c>
      <c r="AM129" s="109">
        <v>211.92</v>
      </c>
      <c r="AN129" s="105">
        <f t="shared" si="16"/>
        <v>134.41</v>
      </c>
      <c r="AO129" s="106">
        <f t="shared" si="17"/>
        <v>0.29000000000002046</v>
      </c>
      <c r="AP129" s="117">
        <v>212.21</v>
      </c>
      <c r="AQ129" s="97"/>
      <c r="AR129" s="97"/>
    </row>
    <row r="130" spans="1:44" ht="42" customHeight="1">
      <c r="A130" s="13" t="s">
        <v>71</v>
      </c>
      <c r="B130" s="13" t="s">
        <v>27</v>
      </c>
      <c r="C130" s="13"/>
      <c r="D130" s="17" t="s">
        <v>58</v>
      </c>
      <c r="E130" s="65">
        <f>'[1]ДОП ДДТ'!$I$16</f>
        <v>219.4157182669903</v>
      </c>
      <c r="F130" s="66" t="s">
        <v>148</v>
      </c>
      <c r="G130" s="66" t="s">
        <v>148</v>
      </c>
      <c r="H130" s="66" t="s">
        <v>148</v>
      </c>
      <c r="I130" s="15">
        <f>133.4+9.86+15.58+0.62</f>
        <v>159.46</v>
      </c>
      <c r="J130" s="39">
        <v>16.89</v>
      </c>
      <c r="K130" s="39">
        <v>1.24</v>
      </c>
      <c r="Y130" s="100">
        <f>200-6.64</f>
        <v>193.36</v>
      </c>
      <c r="Z130" s="111">
        <v>133.4</v>
      </c>
      <c r="AA130" s="104">
        <v>3.78</v>
      </c>
      <c r="AB130" s="111">
        <v>16.89</v>
      </c>
      <c r="AC130" s="111">
        <v>1.24</v>
      </c>
      <c r="AD130" s="104">
        <v>0.8</v>
      </c>
      <c r="AE130" s="104">
        <v>34.340000000000003</v>
      </c>
      <c r="AF130" s="104">
        <f>2.88+0.03</f>
        <v>2.9099999999999997</v>
      </c>
      <c r="AG130" s="113">
        <f t="shared" si="15"/>
        <v>41.83</v>
      </c>
      <c r="AH130" s="107">
        <v>203.22</v>
      </c>
      <c r="AI130" s="105">
        <f t="shared" si="18"/>
        <v>143.26</v>
      </c>
      <c r="AJ130" s="105">
        <f>AI130-133.4</f>
        <v>9.8599999999999852</v>
      </c>
      <c r="AK130" s="105">
        <f t="shared" si="19"/>
        <v>158.84000000000003</v>
      </c>
      <c r="AL130" s="106">
        <f t="shared" si="20"/>
        <v>15.580000000000041</v>
      </c>
      <c r="AM130" s="109">
        <v>218.8</v>
      </c>
      <c r="AN130" s="105">
        <f t="shared" si="16"/>
        <v>159.45999999999998</v>
      </c>
      <c r="AO130" s="106">
        <f t="shared" si="17"/>
        <v>0.6199999999999477</v>
      </c>
      <c r="AP130" s="117">
        <v>219.42</v>
      </c>
      <c r="AQ130" s="97"/>
      <c r="AR130" s="97"/>
    </row>
    <row r="131" spans="1:44" ht="42" customHeight="1">
      <c r="A131" s="13" t="s">
        <v>69</v>
      </c>
      <c r="B131" s="13" t="s">
        <v>27</v>
      </c>
      <c r="C131" s="13"/>
      <c r="D131" s="13" t="s">
        <v>64</v>
      </c>
      <c r="E131" s="15">
        <f>193684.71-77391.09</f>
        <v>116293.62</v>
      </c>
      <c r="F131" s="66" t="s">
        <v>148</v>
      </c>
      <c r="G131" s="66" t="s">
        <v>148</v>
      </c>
      <c r="H131" s="66" t="s">
        <v>148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94">
        <f>193684.71-77391.09</f>
        <v>116293.62</v>
      </c>
      <c r="Z131" s="94">
        <f>85360.95-56907.3</f>
        <v>28453.649999999994</v>
      </c>
      <c r="AA131" s="101"/>
      <c r="AB131" s="102">
        <f>39764.82-14693.2</f>
        <v>25071.62</v>
      </c>
      <c r="AC131" s="102">
        <f>3987.86-2148.75</f>
        <v>1839.1100000000001</v>
      </c>
      <c r="AD131" s="103"/>
      <c r="AE131" s="103"/>
      <c r="AF131" s="103"/>
      <c r="AG131" s="74"/>
      <c r="AH131" s="74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</row>
    <row r="132" spans="1:44" ht="42" customHeight="1">
      <c r="A132" s="13" t="s">
        <v>70</v>
      </c>
      <c r="B132" s="13" t="s">
        <v>27</v>
      </c>
      <c r="C132" s="13"/>
      <c r="D132" s="13" t="s">
        <v>64</v>
      </c>
      <c r="E132" s="15">
        <f>1806231.18+607200.61</f>
        <v>2413431.79</v>
      </c>
      <c r="F132" s="66" t="s">
        <v>148</v>
      </c>
      <c r="G132" s="66" t="s">
        <v>148</v>
      </c>
      <c r="H132" s="66" t="s">
        <v>148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94">
        <f>1806231.18+607200.61</f>
        <v>2413431.79</v>
      </c>
      <c r="Z132" s="94">
        <v>1158246.98</v>
      </c>
      <c r="AA132" s="98"/>
      <c r="AB132" s="95">
        <f>336208.68+541298.15</f>
        <v>877506.83000000007</v>
      </c>
      <c r="AC132" s="95">
        <f>33717.09+30651.9</f>
        <v>64368.99</v>
      </c>
      <c r="AD132" s="96"/>
      <c r="AE132" s="96"/>
      <c r="AF132" s="96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</row>
    <row r="133" spans="1:44" ht="18.600000000000001" customHeight="1">
      <c r="F133" s="7"/>
      <c r="G133" s="7"/>
      <c r="H133" s="7"/>
      <c r="J133" s="7"/>
      <c r="K133" s="7"/>
    </row>
    <row r="134" spans="1:44">
      <c r="F134" s="7"/>
      <c r="G134" s="7"/>
    </row>
    <row r="135" spans="1:44">
      <c r="F135" s="7"/>
      <c r="G135" s="7"/>
    </row>
    <row r="136" spans="1:44" ht="15.6">
      <c r="A136" s="73" t="s">
        <v>126</v>
      </c>
      <c r="B136" s="74"/>
      <c r="C136" s="74"/>
      <c r="D136" s="74"/>
      <c r="E136" s="74"/>
      <c r="F136" s="74"/>
      <c r="G136" s="74"/>
      <c r="H136" s="75"/>
      <c r="I136" s="74"/>
      <c r="J136" s="75"/>
      <c r="K136" s="75"/>
    </row>
    <row r="137" spans="1:44" ht="98.4" customHeight="1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44" ht="21.6" customHeight="1">
      <c r="A138" s="123" t="s">
        <v>8</v>
      </c>
      <c r="B138" s="123"/>
      <c r="C138" s="123"/>
      <c r="D138" s="123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44" ht="60" customHeight="1">
      <c r="A139" s="53" t="s">
        <v>133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148</v>
      </c>
      <c r="G139" s="66" t="s">
        <v>148</v>
      </c>
      <c r="H139" s="66" t="s">
        <v>148</v>
      </c>
      <c r="I139" s="65">
        <v>134.58000000000001</v>
      </c>
      <c r="J139" s="66">
        <v>16.89</v>
      </c>
      <c r="K139" s="66">
        <v>1.24</v>
      </c>
    </row>
    <row r="140" spans="1:44" ht="57.6" customHeight="1">
      <c r="A140" s="13" t="s">
        <v>127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148</v>
      </c>
      <c r="G140" s="66" t="s">
        <v>148</v>
      </c>
      <c r="H140" s="66" t="s">
        <v>148</v>
      </c>
      <c r="I140" s="15">
        <v>127.13</v>
      </c>
      <c r="J140" s="45">
        <v>11.821999999999999</v>
      </c>
      <c r="K140" s="45">
        <v>0.86699999999999999</v>
      </c>
    </row>
    <row r="141" spans="1:44" ht="60" customHeight="1">
      <c r="A141" s="13" t="s">
        <v>128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148</v>
      </c>
      <c r="G141" s="66" t="s">
        <v>148</v>
      </c>
      <c r="H141" s="66" t="s">
        <v>148</v>
      </c>
      <c r="I141" s="15">
        <v>106.47</v>
      </c>
      <c r="J141" s="39">
        <v>10.7</v>
      </c>
      <c r="K141" s="45">
        <v>0.78</v>
      </c>
    </row>
    <row r="142" spans="1:44" ht="61.95" customHeight="1">
      <c r="A142" s="13" t="s">
        <v>129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148</v>
      </c>
      <c r="G142" s="66" t="s">
        <v>148</v>
      </c>
      <c r="H142" s="66" t="s">
        <v>148</v>
      </c>
      <c r="I142" s="15">
        <v>120.68</v>
      </c>
      <c r="J142" s="39">
        <v>12.38</v>
      </c>
      <c r="K142" s="45">
        <v>0.90800000000000003</v>
      </c>
    </row>
    <row r="143" spans="1:44" ht="59.4" customHeight="1">
      <c r="A143" s="13" t="s">
        <v>130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148</v>
      </c>
      <c r="G143" s="66" t="s">
        <v>148</v>
      </c>
      <c r="H143" s="66" t="s">
        <v>148</v>
      </c>
      <c r="I143" s="15">
        <v>122</v>
      </c>
      <c r="J143" s="39">
        <v>16.04</v>
      </c>
      <c r="K143" s="39">
        <v>1.18</v>
      </c>
    </row>
    <row r="144" spans="1:44" ht="71.400000000000006" customHeight="1">
      <c r="A144" s="13" t="s">
        <v>131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148</v>
      </c>
      <c r="G144" s="66" t="s">
        <v>148</v>
      </c>
      <c r="H144" s="66" t="s">
        <v>148</v>
      </c>
      <c r="I144" s="15">
        <v>133.4</v>
      </c>
      <c r="J144" s="39">
        <v>16.89</v>
      </c>
      <c r="K144" s="39">
        <v>1.24</v>
      </c>
    </row>
    <row r="145" spans="1:8" ht="13.8">
      <c r="F145" s="31"/>
      <c r="G145" s="32"/>
      <c r="H145" s="32"/>
    </row>
    <row r="146" spans="1:8">
      <c r="F146" s="7"/>
      <c r="G146" s="7"/>
    </row>
    <row r="147" spans="1:8">
      <c r="A147" s="7" t="s">
        <v>59</v>
      </c>
      <c r="F147" s="7"/>
      <c r="G147" s="7"/>
    </row>
    <row r="148" spans="1:8">
      <c r="F148" s="7"/>
      <c r="G148" s="7"/>
    </row>
    <row r="149" spans="1:8" ht="13.8">
      <c r="D149" s="33"/>
      <c r="F149" s="7"/>
      <c r="G149" s="7"/>
    </row>
    <row r="150" spans="1:8">
      <c r="F150" s="7"/>
      <c r="G150" s="7"/>
    </row>
    <row r="151" spans="1:8">
      <c r="F151" s="7"/>
      <c r="G151" s="7"/>
    </row>
    <row r="152" spans="1:8">
      <c r="F152" s="7"/>
      <c r="G152" s="7"/>
    </row>
    <row r="153" spans="1:8">
      <c r="F153" s="7"/>
      <c r="G153" s="7"/>
    </row>
    <row r="154" spans="1:8">
      <c r="F154" s="7"/>
      <c r="G154" s="7"/>
    </row>
    <row r="155" spans="1:8">
      <c r="F155" s="7"/>
      <c r="G155" s="7"/>
    </row>
    <row r="156" spans="1:8">
      <c r="F156" s="7"/>
      <c r="G156" s="7"/>
    </row>
    <row r="157" spans="1:8">
      <c r="F157" s="7"/>
      <c r="G157" s="7"/>
    </row>
    <row r="158" spans="1:8">
      <c r="F158" s="7"/>
      <c r="G158" s="7"/>
    </row>
    <row r="159" spans="1:8">
      <c r="F159" s="7"/>
      <c r="G159" s="7"/>
    </row>
    <row r="160" spans="1:8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  <row r="213" spans="6:7">
      <c r="F213" s="7"/>
      <c r="G213" s="7"/>
    </row>
    <row r="214" spans="6:7">
      <c r="F214" s="7"/>
      <c r="G214" s="7"/>
    </row>
    <row r="215" spans="6:7">
      <c r="F215" s="7"/>
      <c r="G215" s="7"/>
    </row>
    <row r="216" spans="6:7">
      <c r="F216" s="7"/>
      <c r="G216" s="7"/>
    </row>
    <row r="217" spans="6:7">
      <c r="F217" s="7"/>
      <c r="G217" s="7"/>
    </row>
    <row r="218" spans="6:7">
      <c r="F218" s="7"/>
      <c r="G218" s="7"/>
    </row>
    <row r="219" spans="6:7">
      <c r="F219" s="7"/>
      <c r="G219" s="7"/>
    </row>
    <row r="220" spans="6:7">
      <c r="F220" s="7"/>
      <c r="G220" s="7"/>
    </row>
    <row r="221" spans="6:7">
      <c r="F221" s="7"/>
      <c r="G221" s="7"/>
    </row>
    <row r="222" spans="6:7">
      <c r="F222" s="7"/>
      <c r="G222" s="7"/>
    </row>
    <row r="223" spans="6:7">
      <c r="F223" s="7"/>
      <c r="G223" s="7"/>
    </row>
    <row r="224" spans="6:7">
      <c r="F224" s="7"/>
      <c r="G224" s="7"/>
    </row>
    <row r="225" spans="6:7">
      <c r="F225" s="7"/>
      <c r="G225" s="7"/>
    </row>
    <row r="226" spans="6:7">
      <c r="F226" s="7"/>
      <c r="G226" s="7"/>
    </row>
    <row r="227" spans="6:7">
      <c r="F227" s="7"/>
      <c r="G227" s="7"/>
    </row>
    <row r="228" spans="6:7">
      <c r="F228" s="7"/>
      <c r="G228" s="7"/>
    </row>
    <row r="229" spans="6:7">
      <c r="F229" s="7"/>
      <c r="G229" s="7"/>
    </row>
    <row r="230" spans="6:7">
      <c r="F230" s="7"/>
      <c r="G230" s="7"/>
    </row>
    <row r="231" spans="6:7">
      <c r="F231" s="7"/>
      <c r="G231" s="7"/>
    </row>
    <row r="232" spans="6:7">
      <c r="F232" s="7"/>
      <c r="G232" s="7"/>
    </row>
    <row r="233" spans="6:7">
      <c r="F233" s="7"/>
      <c r="G233" s="7"/>
    </row>
    <row r="234" spans="6:7">
      <c r="F234" s="7"/>
      <c r="G234" s="7"/>
    </row>
    <row r="235" spans="6:7">
      <c r="F235" s="7"/>
      <c r="G235" s="7"/>
    </row>
    <row r="236" spans="6:7">
      <c r="F236" s="7"/>
      <c r="G236" s="7"/>
    </row>
    <row r="237" spans="6:7">
      <c r="F237" s="7"/>
      <c r="G237" s="7"/>
    </row>
    <row r="238" spans="6:7">
      <c r="F238" s="7"/>
      <c r="G238" s="7"/>
    </row>
    <row r="239" spans="6:7">
      <c r="F239" s="7"/>
      <c r="G239" s="7"/>
    </row>
    <row r="240" spans="6:7">
      <c r="F240" s="7"/>
      <c r="G240" s="7"/>
    </row>
    <row r="241" spans="6:7">
      <c r="F241" s="7"/>
      <c r="G241" s="7"/>
    </row>
    <row r="242" spans="6:7">
      <c r="F242" s="7"/>
      <c r="G242" s="7"/>
    </row>
    <row r="243" spans="6:7">
      <c r="F243" s="7"/>
      <c r="G243" s="7"/>
    </row>
    <row r="244" spans="6:7">
      <c r="F244" s="7"/>
      <c r="G244" s="7"/>
    </row>
    <row r="245" spans="6:7">
      <c r="F245" s="7"/>
      <c r="G245" s="7"/>
    </row>
    <row r="246" spans="6:7">
      <c r="F246" s="7"/>
      <c r="G246" s="7"/>
    </row>
    <row r="247" spans="6:7">
      <c r="F247" s="7"/>
      <c r="G247" s="7"/>
    </row>
    <row r="248" spans="6:7">
      <c r="F248" s="7"/>
      <c r="G248" s="7"/>
    </row>
    <row r="249" spans="6:7">
      <c r="F249" s="7"/>
      <c r="G249" s="7"/>
    </row>
  </sheetData>
  <mergeCells count="17">
    <mergeCell ref="A75:A84"/>
    <mergeCell ref="A9:A41"/>
    <mergeCell ref="C34:C35"/>
    <mergeCell ref="A138:D138"/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  <mergeCell ref="C9:C18"/>
  </mergeCells>
  <pageMargins left="0.31496062992125984" right="0" top="0.19685039370078741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Мисько</cp:lastModifiedBy>
  <cp:lastPrinted>2021-06-04T08:15:36Z</cp:lastPrinted>
  <dcterms:modified xsi:type="dcterms:W3CDTF">2021-07-21T04:30:00Z</dcterms:modified>
</cp:coreProperties>
</file>