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Y17"/>
  <c r="X12"/>
  <c r="X13"/>
  <c r="X14"/>
  <c r="X15"/>
  <c r="X16"/>
  <c r="Y12"/>
  <c r="Y13"/>
  <c r="Y14"/>
  <c r="Y15"/>
  <c r="Y16"/>
  <c r="W17"/>
  <c r="Y18"/>
  <c r="U43"/>
  <c r="Y19"/>
  <c r="Y11"/>
  <c r="X11" s="1"/>
  <c r="Q67" i="14"/>
  <c r="G118"/>
  <c r="G117"/>
  <c r="J110"/>
  <c r="J108"/>
  <c r="G109"/>
  <c r="G110"/>
  <c r="G108"/>
  <c r="G103"/>
  <c r="G102"/>
  <c r="N90"/>
  <c r="N89" s="1"/>
  <c r="J97"/>
  <c r="K96"/>
  <c r="J96"/>
  <c r="G96"/>
  <c r="N96" s="1"/>
  <c r="T96" s="1"/>
  <c r="U96" s="1"/>
  <c r="V96" s="1"/>
  <c r="K92"/>
  <c r="M92" s="1"/>
  <c r="G92"/>
  <c r="Q92" s="1"/>
  <c r="J94"/>
  <c r="J93"/>
  <c r="J91"/>
  <c r="G93"/>
  <c r="G94"/>
  <c r="G95"/>
  <c r="G97"/>
  <c r="G91"/>
  <c r="G81"/>
  <c r="G82"/>
  <c r="G83"/>
  <c r="G84"/>
  <c r="G85"/>
  <c r="G86"/>
  <c r="G80"/>
  <c r="K73"/>
  <c r="M73" s="1"/>
  <c r="G73"/>
  <c r="O73" s="1"/>
  <c r="G69"/>
  <c r="G70"/>
  <c r="G71"/>
  <c r="G72"/>
  <c r="G74"/>
  <c r="G75"/>
  <c r="G68"/>
  <c r="J61"/>
  <c r="J60"/>
  <c r="J59"/>
  <c r="G60"/>
  <c r="G61"/>
  <c r="G59"/>
  <c r="G49"/>
  <c r="G50"/>
  <c r="G51"/>
  <c r="G48"/>
  <c r="O92" l="1"/>
  <c r="N92"/>
  <c r="N73"/>
  <c r="T73" s="1"/>
  <c r="Q73"/>
  <c r="G38"/>
  <c r="G39"/>
  <c r="G37"/>
  <c r="G33"/>
  <c r="G20"/>
  <c r="J26"/>
  <c r="E33"/>
  <c r="J30"/>
  <c r="F33"/>
  <c r="G32"/>
  <c r="G31"/>
  <c r="G30"/>
  <c r="G29"/>
  <c r="J29"/>
  <c r="G28"/>
  <c r="G27"/>
  <c r="G26"/>
  <c r="G18"/>
  <c r="G17"/>
  <c r="G16"/>
  <c r="E44"/>
  <c r="F44"/>
  <c r="H44"/>
  <c r="T92" l="1"/>
  <c r="U92" s="1"/>
  <c r="V92" s="1"/>
  <c r="U73"/>
  <c r="V73" s="1"/>
  <c r="G44"/>
  <c r="P206" i="4"/>
  <c r="P199"/>
  <c r="P198"/>
  <c r="P190"/>
  <c r="P189"/>
  <c r="O206"/>
  <c r="O199"/>
  <c r="O198"/>
  <c r="O190"/>
  <c r="O189"/>
  <c r="G211"/>
  <c r="U51"/>
  <c r="T51"/>
  <c r="O51"/>
  <c r="N51" s="1"/>
  <c r="W73" i="14" l="1"/>
  <c r="J51" i="4"/>
  <c r="G51"/>
  <c r="O38" l="1"/>
  <c r="U28"/>
  <c r="T28"/>
  <c r="O28"/>
  <c r="N28" s="1"/>
  <c r="J28"/>
  <c r="G28"/>
  <c r="V14" i="11"/>
  <c r="V15"/>
  <c r="V16"/>
  <c r="V12"/>
  <c r="V13"/>
  <c r="W12"/>
  <c r="W13"/>
  <c r="W14"/>
  <c r="W15"/>
  <c r="W16"/>
  <c r="V11"/>
  <c r="W11"/>
  <c r="W19"/>
  <c r="W18"/>
  <c r="U40"/>
  <c r="U35"/>
  <c r="V35"/>
  <c r="T211" i="4" l="1"/>
  <c r="T178"/>
  <c r="T141"/>
  <c r="T106"/>
  <c r="T73"/>
  <c r="T38"/>
  <c r="E36"/>
  <c r="E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8" i="14" l="1"/>
  <c r="N109"/>
  <c r="N110"/>
  <c r="J109"/>
  <c r="N108"/>
  <c r="N103"/>
  <c r="N97"/>
  <c r="N94"/>
  <c r="N91"/>
  <c r="N95"/>
  <c r="N93"/>
  <c r="N86"/>
  <c r="N85"/>
  <c r="N84"/>
  <c r="N83"/>
  <c r="N82"/>
  <c r="N81"/>
  <c r="N75"/>
  <c r="N74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5" i="14" l="1"/>
  <c r="K97"/>
  <c r="O97" s="1"/>
  <c r="K94"/>
  <c r="K118"/>
  <c r="O118" s="1"/>
  <c r="K119"/>
  <c r="K120"/>
  <c r="K117"/>
  <c r="O117" s="1"/>
  <c r="K110"/>
  <c r="O110" s="1"/>
  <c r="K109"/>
  <c r="O109" s="1"/>
  <c r="K108"/>
  <c r="O108" s="1"/>
  <c r="K103"/>
  <c r="O103" s="1"/>
  <c r="K102"/>
  <c r="O102" s="1"/>
  <c r="K93"/>
  <c r="O93" s="1"/>
  <c r="K91"/>
  <c r="O91" s="1"/>
  <c r="K88"/>
  <c r="K87"/>
  <c r="K83"/>
  <c r="O83" s="1"/>
  <c r="K82"/>
  <c r="O82" s="1"/>
  <c r="K81"/>
  <c r="O81" s="1"/>
  <c r="K80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6" i="4" l="1"/>
  <c r="R198"/>
  <c r="R199"/>
  <c r="R190"/>
  <c r="R189"/>
  <c r="R195"/>
  <c r="I104" i="14" l="1"/>
  <c r="H104"/>
  <c r="U192" i="4"/>
  <c r="T192"/>
  <c r="U155"/>
  <c r="T155"/>
  <c r="T98"/>
  <c r="U62"/>
  <c r="U61"/>
  <c r="T62"/>
  <c r="T61"/>
  <c r="T15"/>
  <c r="R179" l="1"/>
  <c r="P203"/>
  <c r="P195"/>
  <c r="O211"/>
  <c r="O209"/>
  <c r="O208"/>
  <c r="O204"/>
  <c r="O203"/>
  <c r="O196"/>
  <c r="O195"/>
  <c r="P160"/>
  <c r="O175"/>
  <c r="O170"/>
  <c r="O166"/>
  <c r="O161"/>
  <c r="O160"/>
  <c r="O155"/>
  <c r="O157"/>
  <c r="O158"/>
  <c r="O159"/>
  <c r="P139"/>
  <c r="O139"/>
  <c r="O132"/>
  <c r="O133"/>
  <c r="O121"/>
  <c r="O122"/>
  <c r="O123"/>
  <c r="O124"/>
  <c r="O118"/>
  <c r="P104"/>
  <c r="P98"/>
  <c r="O104"/>
  <c r="O102"/>
  <c r="O98"/>
  <c r="O96"/>
  <c r="O97"/>
  <c r="O86"/>
  <c r="O90"/>
  <c r="O85"/>
  <c r="P66"/>
  <c r="P57"/>
  <c r="O71"/>
  <c r="O66"/>
  <c r="O63"/>
  <c r="O64"/>
  <c r="O65"/>
  <c r="O57"/>
  <c r="O52"/>
  <c r="O53"/>
  <c r="O54"/>
  <c r="O56"/>
  <c r="O27"/>
  <c r="O26"/>
  <c r="O18"/>
  <c r="O19"/>
  <c r="O14"/>
  <c r="R104"/>
  <c r="N104" s="1"/>
  <c r="S123" i="14" l="1"/>
  <c r="S114"/>
  <c r="S105"/>
  <c r="S99"/>
  <c r="S88"/>
  <c r="S77"/>
  <c r="S65"/>
  <c r="S56"/>
  <c r="S45"/>
  <c r="S34"/>
  <c r="S21"/>
  <c r="U123" l="1"/>
  <c r="S13"/>
  <c r="C349" i="4"/>
  <c r="O345"/>
  <c r="N345"/>
  <c r="N346" s="1"/>
  <c r="N347" s="1"/>
  <c r="M345"/>
  <c r="O342"/>
  <c r="O346" s="1"/>
  <c r="O347" s="1"/>
  <c r="N342"/>
  <c r="N343" s="1"/>
  <c r="M342"/>
  <c r="P342" s="1"/>
  <c r="L341"/>
  <c r="C334"/>
  <c r="P330"/>
  <c r="O330"/>
  <c r="O331" s="1"/>
  <c r="O332" s="1"/>
  <c r="N330"/>
  <c r="P327"/>
  <c r="P331" s="1"/>
  <c r="P332" s="1"/>
  <c r="O327"/>
  <c r="O328" s="1"/>
  <c r="N327"/>
  <c r="Q327" s="1"/>
  <c r="M326"/>
  <c r="C321"/>
  <c r="N317"/>
  <c r="M317"/>
  <c r="M318" s="1"/>
  <c r="M319" s="1"/>
  <c r="L317"/>
  <c r="N314"/>
  <c r="N318" s="1"/>
  <c r="N319" s="1"/>
  <c r="M314"/>
  <c r="M315" s="1"/>
  <c r="L314"/>
  <c r="O314" s="1"/>
  <c r="K313"/>
  <c r="C308"/>
  <c r="N304"/>
  <c r="M304"/>
  <c r="M305" s="1"/>
  <c r="M306" s="1"/>
  <c r="L304"/>
  <c r="N301"/>
  <c r="N305" s="1"/>
  <c r="N306" s="1"/>
  <c r="M301"/>
  <c r="M302" s="1"/>
  <c r="L301"/>
  <c r="O301" s="1"/>
  <c r="K300"/>
  <c r="C295"/>
  <c r="N291"/>
  <c r="N292" s="1"/>
  <c r="N293" s="1"/>
  <c r="M291"/>
  <c r="M292" s="1"/>
  <c r="M293" s="1"/>
  <c r="L291"/>
  <c r="L292" s="1"/>
  <c r="L293" s="1"/>
  <c r="N288"/>
  <c r="N289" s="1"/>
  <c r="M288"/>
  <c r="M289" s="1"/>
  <c r="L288"/>
  <c r="O288" s="1"/>
  <c r="K287"/>
  <c r="C279"/>
  <c r="N275"/>
  <c r="M275"/>
  <c r="M276" s="1"/>
  <c r="M277" s="1"/>
  <c r="L275"/>
  <c r="N272"/>
  <c r="N276" s="1"/>
  <c r="N277" s="1"/>
  <c r="M272"/>
  <c r="M273" s="1"/>
  <c r="L272"/>
  <c r="O272" s="1"/>
  <c r="K271"/>
  <c r="S220"/>
  <c r="Q220"/>
  <c r="I220"/>
  <c r="H220"/>
  <c r="U219"/>
  <c r="N219"/>
  <c r="U218"/>
  <c r="T218"/>
  <c r="N218"/>
  <c r="U217"/>
  <c r="N217"/>
  <c r="N216"/>
  <c r="N215"/>
  <c r="T214"/>
  <c r="U214" s="1"/>
  <c r="N214"/>
  <c r="U213"/>
  <c r="T213"/>
  <c r="N213"/>
  <c r="R212"/>
  <c r="P212"/>
  <c r="M212"/>
  <c r="I212"/>
  <c r="H212"/>
  <c r="G212"/>
  <c r="F212"/>
  <c r="E212"/>
  <c r="O212"/>
  <c r="J211"/>
  <c r="I210"/>
  <c r="H210"/>
  <c r="G210"/>
  <c r="F210"/>
  <c r="E210"/>
  <c r="J209"/>
  <c r="G209"/>
  <c r="N209" s="1"/>
  <c r="J208"/>
  <c r="G208"/>
  <c r="N208" s="1"/>
  <c r="R210"/>
  <c r="P210"/>
  <c r="O210"/>
  <c r="N206"/>
  <c r="U204"/>
  <c r="T204"/>
  <c r="J204"/>
  <c r="G204"/>
  <c r="N204" s="1"/>
  <c r="K203"/>
  <c r="N203" s="1"/>
  <c r="T203" s="1"/>
  <c r="U203" s="1"/>
  <c r="J203"/>
  <c r="U202"/>
  <c r="T202"/>
  <c r="J202"/>
  <c r="G202"/>
  <c r="U201"/>
  <c r="T201"/>
  <c r="J201"/>
  <c r="G201"/>
  <c r="X199"/>
  <c r="W199"/>
  <c r="N199"/>
  <c r="W198"/>
  <c r="R205"/>
  <c r="P205"/>
  <c r="J196"/>
  <c r="G196"/>
  <c r="N196" s="1"/>
  <c r="T196" s="1"/>
  <c r="U196" s="1"/>
  <c r="K195"/>
  <c r="J195"/>
  <c r="G195"/>
  <c r="J194"/>
  <c r="G194"/>
  <c r="J193"/>
  <c r="G193"/>
  <c r="J192"/>
  <c r="G192"/>
  <c r="O192" s="1"/>
  <c r="N191"/>
  <c r="T191" s="1"/>
  <c r="U191" s="1"/>
  <c r="W190"/>
  <c r="N190"/>
  <c r="Y189"/>
  <c r="X189"/>
  <c r="W189"/>
  <c r="R197"/>
  <c r="S188"/>
  <c r="Q188"/>
  <c r="U187"/>
  <c r="N187"/>
  <c r="T186"/>
  <c r="U186" s="1"/>
  <c r="N186"/>
  <c r="U185"/>
  <c r="N185"/>
  <c r="N184"/>
  <c r="T183"/>
  <c r="U183" s="1"/>
  <c r="N183"/>
  <c r="U182"/>
  <c r="T182"/>
  <c r="N182"/>
  <c r="T181"/>
  <c r="U181" s="1"/>
  <c r="N181"/>
  <c r="P180"/>
  <c r="M180"/>
  <c r="I180"/>
  <c r="H180"/>
  <c r="F180"/>
  <c r="E180"/>
  <c r="R180"/>
  <c r="N179"/>
  <c r="T179" s="1"/>
  <c r="U179" s="1"/>
  <c r="J178"/>
  <c r="G178"/>
  <c r="O178" s="1"/>
  <c r="N178" s="1"/>
  <c r="I177"/>
  <c r="H177"/>
  <c r="F177"/>
  <c r="E177"/>
  <c r="L176"/>
  <c r="K176"/>
  <c r="J176"/>
  <c r="U176" s="1"/>
  <c r="G176"/>
  <c r="U175"/>
  <c r="T175"/>
  <c r="J175"/>
  <c r="G175"/>
  <c r="N175" s="1"/>
  <c r="L173"/>
  <c r="K173"/>
  <c r="J173"/>
  <c r="G173"/>
  <c r="L172"/>
  <c r="K172"/>
  <c r="J172"/>
  <c r="G172"/>
  <c r="I171"/>
  <c r="H171"/>
  <c r="F171"/>
  <c r="E171"/>
  <c r="J170"/>
  <c r="U170" s="1"/>
  <c r="G170"/>
  <c r="N170" s="1"/>
  <c r="R169"/>
  <c r="L169"/>
  <c r="K169"/>
  <c r="J169"/>
  <c r="G169"/>
  <c r="U168"/>
  <c r="T168"/>
  <c r="J168"/>
  <c r="G168"/>
  <c r="U167"/>
  <c r="T167"/>
  <c r="J167"/>
  <c r="G167"/>
  <c r="U166"/>
  <c r="T166"/>
  <c r="J166"/>
  <c r="G166"/>
  <c r="N166" s="1"/>
  <c r="L164"/>
  <c r="K164"/>
  <c r="J164"/>
  <c r="G164"/>
  <c r="L163"/>
  <c r="K163"/>
  <c r="J163"/>
  <c r="G163"/>
  <c r="I162"/>
  <c r="I188" s="1"/>
  <c r="H162"/>
  <c r="H188" s="1"/>
  <c r="F162"/>
  <c r="E162"/>
  <c r="E188" s="1"/>
  <c r="J161"/>
  <c r="U161" s="1"/>
  <c r="G161"/>
  <c r="N161" s="1"/>
  <c r="L160"/>
  <c r="K160"/>
  <c r="J160"/>
  <c r="G160"/>
  <c r="R160" s="1"/>
  <c r="U159"/>
  <c r="T159"/>
  <c r="J159"/>
  <c r="G159"/>
  <c r="N159" s="1"/>
  <c r="U158"/>
  <c r="T158"/>
  <c r="J158"/>
  <c r="G158"/>
  <c r="N158" s="1"/>
  <c r="U157"/>
  <c r="T157"/>
  <c r="J157"/>
  <c r="G157"/>
  <c r="N157" s="1"/>
  <c r="U156"/>
  <c r="T156"/>
  <c r="J156"/>
  <c r="G156"/>
  <c r="J155"/>
  <c r="G155"/>
  <c r="N155" s="1"/>
  <c r="U154"/>
  <c r="T154"/>
  <c r="J154"/>
  <c r="G154"/>
  <c r="U153"/>
  <c r="T153"/>
  <c r="J153"/>
  <c r="G153"/>
  <c r="L151"/>
  <c r="K151"/>
  <c r="J151"/>
  <c r="G151"/>
  <c r="S150"/>
  <c r="Q150"/>
  <c r="U149"/>
  <c r="N149"/>
  <c r="T148"/>
  <c r="U148" s="1"/>
  <c r="N148"/>
  <c r="U147"/>
  <c r="N147"/>
  <c r="N146"/>
  <c r="T145"/>
  <c r="U145" s="1"/>
  <c r="N145"/>
  <c r="U144"/>
  <c r="N144"/>
  <c r="T143"/>
  <c r="U143" s="1"/>
  <c r="N143"/>
  <c r="R142"/>
  <c r="P142"/>
  <c r="M142"/>
  <c r="I142"/>
  <c r="H142"/>
  <c r="F142"/>
  <c r="E142"/>
  <c r="J141"/>
  <c r="G141"/>
  <c r="I140"/>
  <c r="H140"/>
  <c r="F140"/>
  <c r="E140"/>
  <c r="L139"/>
  <c r="K139"/>
  <c r="J139"/>
  <c r="U139" s="1"/>
  <c r="G139"/>
  <c r="U138"/>
  <c r="T138"/>
  <c r="J138"/>
  <c r="G138"/>
  <c r="L136"/>
  <c r="K136"/>
  <c r="J136"/>
  <c r="G136"/>
  <c r="I135"/>
  <c r="H135"/>
  <c r="F135"/>
  <c r="E135"/>
  <c r="L134"/>
  <c r="K134"/>
  <c r="J134"/>
  <c r="G134"/>
  <c r="U133"/>
  <c r="T133"/>
  <c r="J133"/>
  <c r="G133"/>
  <c r="N133" s="1"/>
  <c r="U132"/>
  <c r="T132"/>
  <c r="J132"/>
  <c r="G132"/>
  <c r="N132" s="1"/>
  <c r="U131"/>
  <c r="T131"/>
  <c r="J131"/>
  <c r="G131"/>
  <c r="U130"/>
  <c r="T130"/>
  <c r="J130"/>
  <c r="G130"/>
  <c r="U129"/>
  <c r="T129"/>
  <c r="J129"/>
  <c r="G129"/>
  <c r="L127"/>
  <c r="K127"/>
  <c r="J127"/>
  <c r="G127"/>
  <c r="I126"/>
  <c r="I150" s="1"/>
  <c r="H126"/>
  <c r="H150" s="1"/>
  <c r="F126"/>
  <c r="F150" s="1"/>
  <c r="E126"/>
  <c r="E150" s="1"/>
  <c r="L125"/>
  <c r="K125"/>
  <c r="J125"/>
  <c r="G125"/>
  <c r="U124"/>
  <c r="T124"/>
  <c r="N124"/>
  <c r="J124"/>
  <c r="G124"/>
  <c r="U123"/>
  <c r="T123"/>
  <c r="N123"/>
  <c r="J123"/>
  <c r="G123"/>
  <c r="U122"/>
  <c r="T122"/>
  <c r="N122"/>
  <c r="J122"/>
  <c r="G122"/>
  <c r="U121"/>
  <c r="T121"/>
  <c r="N121"/>
  <c r="J121"/>
  <c r="G121"/>
  <c r="U120"/>
  <c r="T120"/>
  <c r="J120"/>
  <c r="G120"/>
  <c r="O120" s="1"/>
  <c r="N120" s="1"/>
  <c r="U119"/>
  <c r="T119"/>
  <c r="J119"/>
  <c r="G119"/>
  <c r="O119" s="1"/>
  <c r="N119" s="1"/>
  <c r="U118"/>
  <c r="T118"/>
  <c r="N118"/>
  <c r="J118"/>
  <c r="L116"/>
  <c r="K116"/>
  <c r="J116"/>
  <c r="G116"/>
  <c r="S115"/>
  <c r="Q115"/>
  <c r="U114"/>
  <c r="N114"/>
  <c r="T113"/>
  <c r="U113" s="1"/>
  <c r="N113"/>
  <c r="U112"/>
  <c r="N112"/>
  <c r="N111"/>
  <c r="V110"/>
  <c r="U110"/>
  <c r="N110"/>
  <c r="U109"/>
  <c r="T109"/>
  <c r="N109"/>
  <c r="T108"/>
  <c r="U108" s="1"/>
  <c r="N108"/>
  <c r="R107"/>
  <c r="P107"/>
  <c r="M107"/>
  <c r="I107"/>
  <c r="H107"/>
  <c r="F107"/>
  <c r="E107"/>
  <c r="J106"/>
  <c r="G106"/>
  <c r="I105"/>
  <c r="H105"/>
  <c r="F105"/>
  <c r="E105"/>
  <c r="L104"/>
  <c r="K104"/>
  <c r="J104"/>
  <c r="T104" s="1"/>
  <c r="G104"/>
  <c r="U103"/>
  <c r="T103"/>
  <c r="J103"/>
  <c r="G103"/>
  <c r="O103" s="1"/>
  <c r="N103" s="1"/>
  <c r="U102"/>
  <c r="T102"/>
  <c r="N102"/>
  <c r="J102"/>
  <c r="G102"/>
  <c r="L100"/>
  <c r="K100"/>
  <c r="J100" s="1"/>
  <c r="G100"/>
  <c r="I99"/>
  <c r="H99"/>
  <c r="F99"/>
  <c r="E99"/>
  <c r="L98"/>
  <c r="K98"/>
  <c r="J98" s="1"/>
  <c r="G98"/>
  <c r="U97"/>
  <c r="T97"/>
  <c r="J97"/>
  <c r="G97"/>
  <c r="N97" s="1"/>
  <c r="U96"/>
  <c r="T96"/>
  <c r="J96"/>
  <c r="G96"/>
  <c r="N96" s="1"/>
  <c r="U95"/>
  <c r="T95"/>
  <c r="J95"/>
  <c r="G95"/>
  <c r="L93"/>
  <c r="K93"/>
  <c r="J93"/>
  <c r="G93"/>
  <c r="I92"/>
  <c r="I115" s="1"/>
  <c r="H92"/>
  <c r="H115" s="1"/>
  <c r="F92"/>
  <c r="F115" s="1"/>
  <c r="E92"/>
  <c r="E115" s="1"/>
  <c r="L91"/>
  <c r="K91"/>
  <c r="J91"/>
  <c r="G91"/>
  <c r="U90"/>
  <c r="T90"/>
  <c r="N90"/>
  <c r="J90"/>
  <c r="G90"/>
  <c r="U89"/>
  <c r="T89"/>
  <c r="J89"/>
  <c r="G89"/>
  <c r="O89" s="1"/>
  <c r="N89" s="1"/>
  <c r="U88"/>
  <c r="T88"/>
  <c r="J88"/>
  <c r="G88"/>
  <c r="O88" s="1"/>
  <c r="N88" s="1"/>
  <c r="U87"/>
  <c r="T87"/>
  <c r="J87"/>
  <c r="G87"/>
  <c r="O87" s="1"/>
  <c r="N87" s="1"/>
  <c r="U86"/>
  <c r="T86"/>
  <c r="N86"/>
  <c r="J86"/>
  <c r="G86"/>
  <c r="U85"/>
  <c r="T85"/>
  <c r="N85"/>
  <c r="J85"/>
  <c r="G85"/>
  <c r="L83"/>
  <c r="K83"/>
  <c r="J83" s="1"/>
  <c r="G83"/>
  <c r="S82"/>
  <c r="Q82"/>
  <c r="U81"/>
  <c r="N81"/>
  <c r="T80"/>
  <c r="U80" s="1"/>
  <c r="N80"/>
  <c r="U79"/>
  <c r="N79"/>
  <c r="N78"/>
  <c r="V77"/>
  <c r="U77"/>
  <c r="N77"/>
  <c r="T76"/>
  <c r="U76" s="1"/>
  <c r="N76"/>
  <c r="T75"/>
  <c r="U75" s="1"/>
  <c r="N75"/>
  <c r="R74"/>
  <c r="P74"/>
  <c r="M74"/>
  <c r="I74"/>
  <c r="H74"/>
  <c r="F74"/>
  <c r="E74"/>
  <c r="J73"/>
  <c r="G73"/>
  <c r="O73" s="1"/>
  <c r="I72"/>
  <c r="H72"/>
  <c r="F72"/>
  <c r="E72"/>
  <c r="R71"/>
  <c r="L71"/>
  <c r="P71" s="1"/>
  <c r="K71"/>
  <c r="U71" s="1"/>
  <c r="J71"/>
  <c r="U70"/>
  <c r="T70"/>
  <c r="J70"/>
  <c r="G70"/>
  <c r="L68"/>
  <c r="K68"/>
  <c r="J68"/>
  <c r="G68"/>
  <c r="I67"/>
  <c r="H67"/>
  <c r="F67"/>
  <c r="E67"/>
  <c r="L66"/>
  <c r="K66"/>
  <c r="J66" s="1"/>
  <c r="G66"/>
  <c r="R66" s="1"/>
  <c r="U65"/>
  <c r="T65"/>
  <c r="J65"/>
  <c r="G65"/>
  <c r="N65" s="1"/>
  <c r="U64"/>
  <c r="T64"/>
  <c r="J64"/>
  <c r="G64"/>
  <c r="N64" s="1"/>
  <c r="U63"/>
  <c r="T63"/>
  <c r="J63"/>
  <c r="G63"/>
  <c r="N63" s="1"/>
  <c r="J62"/>
  <c r="G62"/>
  <c r="J61"/>
  <c r="G61"/>
  <c r="L59"/>
  <c r="K59"/>
  <c r="J59"/>
  <c r="T59" s="1"/>
  <c r="G59"/>
  <c r="I58"/>
  <c r="I82" s="1"/>
  <c r="H58"/>
  <c r="H82" s="1"/>
  <c r="F58"/>
  <c r="E58"/>
  <c r="E82" s="1"/>
  <c r="L57"/>
  <c r="K57"/>
  <c r="J57"/>
  <c r="G57"/>
  <c r="U56"/>
  <c r="T56"/>
  <c r="N56"/>
  <c r="J56"/>
  <c r="U55"/>
  <c r="T55"/>
  <c r="J55"/>
  <c r="G55"/>
  <c r="U54"/>
  <c r="T54"/>
  <c r="J54"/>
  <c r="G54"/>
  <c r="N54" s="1"/>
  <c r="U53"/>
  <c r="T53"/>
  <c r="J53"/>
  <c r="G53"/>
  <c r="N53" s="1"/>
  <c r="U52"/>
  <c r="T52"/>
  <c r="J52"/>
  <c r="G52"/>
  <c r="N52" s="1"/>
  <c r="U50"/>
  <c r="T50"/>
  <c r="J50"/>
  <c r="G50"/>
  <c r="L48"/>
  <c r="K48"/>
  <c r="J48" s="1"/>
  <c r="G48"/>
  <c r="S47"/>
  <c r="Q47"/>
  <c r="U46"/>
  <c r="N46"/>
  <c r="T45"/>
  <c r="U45" s="1"/>
  <c r="N45"/>
  <c r="U44"/>
  <c r="N44"/>
  <c r="N43"/>
  <c r="T42"/>
  <c r="U42" s="1"/>
  <c r="T41"/>
  <c r="U41" s="1"/>
  <c r="N41"/>
  <c r="T40"/>
  <c r="U40" s="1"/>
  <c r="N40"/>
  <c r="R39"/>
  <c r="P39"/>
  <c r="M39"/>
  <c r="I39"/>
  <c r="H39"/>
  <c r="F39"/>
  <c r="E39"/>
  <c r="J38"/>
  <c r="G38"/>
  <c r="I37"/>
  <c r="H37"/>
  <c r="F37"/>
  <c r="E37"/>
  <c r="L36"/>
  <c r="K36"/>
  <c r="J36" s="1"/>
  <c r="G36"/>
  <c r="R36" s="1"/>
  <c r="U35"/>
  <c r="T35"/>
  <c r="U34"/>
  <c r="T34"/>
  <c r="J34"/>
  <c r="G34"/>
  <c r="L32"/>
  <c r="K32"/>
  <c r="J32"/>
  <c r="G32"/>
  <c r="I31"/>
  <c r="H31"/>
  <c r="F31"/>
  <c r="E31"/>
  <c r="L30"/>
  <c r="K30"/>
  <c r="J30" s="1"/>
  <c r="G30"/>
  <c r="U29"/>
  <c r="T29"/>
  <c r="J29"/>
  <c r="G29"/>
  <c r="U27"/>
  <c r="T27"/>
  <c r="J27"/>
  <c r="G27"/>
  <c r="N27" s="1"/>
  <c r="U26"/>
  <c r="T26"/>
  <c r="J26"/>
  <c r="G26"/>
  <c r="N26" s="1"/>
  <c r="L24"/>
  <c r="K24"/>
  <c r="J24"/>
  <c r="T24" s="1"/>
  <c r="G24"/>
  <c r="I23"/>
  <c r="I47" s="1"/>
  <c r="H23"/>
  <c r="H47" s="1"/>
  <c r="F23"/>
  <c r="E23"/>
  <c r="E47" s="1"/>
  <c r="L22"/>
  <c r="K22"/>
  <c r="J22"/>
  <c r="G22"/>
  <c r="U21"/>
  <c r="T21"/>
  <c r="J21"/>
  <c r="G21"/>
  <c r="U20"/>
  <c r="T20"/>
  <c r="J20"/>
  <c r="G20"/>
  <c r="U19"/>
  <c r="T19"/>
  <c r="J19"/>
  <c r="G19"/>
  <c r="N19" s="1"/>
  <c r="U18"/>
  <c r="T18"/>
  <c r="J18"/>
  <c r="G18"/>
  <c r="N18" s="1"/>
  <c r="U17"/>
  <c r="T17"/>
  <c r="J17"/>
  <c r="G17"/>
  <c r="U16"/>
  <c r="T16"/>
  <c r="J16"/>
  <c r="G16"/>
  <c r="U15"/>
  <c r="J15"/>
  <c r="G15"/>
  <c r="U14"/>
  <c r="T14"/>
  <c r="J14"/>
  <c r="G14"/>
  <c r="N14" s="1"/>
  <c r="L12"/>
  <c r="K12"/>
  <c r="J12"/>
  <c r="G12"/>
  <c r="R12" s="1"/>
  <c r="V123" i="14"/>
  <c r="T123"/>
  <c r="M123"/>
  <c r="I122"/>
  <c r="H122"/>
  <c r="F122"/>
  <c r="E122"/>
  <c r="T121"/>
  <c r="U121" s="1"/>
  <c r="V121" s="1"/>
  <c r="K121"/>
  <c r="M121" s="1"/>
  <c r="T120"/>
  <c r="U120" s="1"/>
  <c r="V120" s="1"/>
  <c r="M120"/>
  <c r="T119"/>
  <c r="U119" s="1"/>
  <c r="M119"/>
  <c r="M118"/>
  <c r="J117"/>
  <c r="M117" s="1"/>
  <c r="AA116"/>
  <c r="M116"/>
  <c r="S115"/>
  <c r="M115"/>
  <c r="V114"/>
  <c r="U114"/>
  <c r="AA107" s="1"/>
  <c r="T114"/>
  <c r="M114"/>
  <c r="I113"/>
  <c r="H113"/>
  <c r="F113"/>
  <c r="E113"/>
  <c r="T112"/>
  <c r="U112" s="1"/>
  <c r="V112" s="1"/>
  <c r="K112"/>
  <c r="M112" s="1"/>
  <c r="T111"/>
  <c r="U111" s="1"/>
  <c r="K111"/>
  <c r="M111" s="1"/>
  <c r="M107"/>
  <c r="S106"/>
  <c r="M106"/>
  <c r="V105"/>
  <c r="U105"/>
  <c r="AA101" s="1"/>
  <c r="T105"/>
  <c r="M105"/>
  <c r="F104"/>
  <c r="E104"/>
  <c r="M103"/>
  <c r="J102"/>
  <c r="M101"/>
  <c r="S100"/>
  <c r="M100"/>
  <c r="V99"/>
  <c r="U99"/>
  <c r="AA90" s="1"/>
  <c r="T99"/>
  <c r="M99"/>
  <c r="I98"/>
  <c r="H98"/>
  <c r="F98"/>
  <c r="E98"/>
  <c r="M97"/>
  <c r="T95"/>
  <c r="U95" s="1"/>
  <c r="V95" s="1"/>
  <c r="Q94"/>
  <c r="Q93"/>
  <c r="G98"/>
  <c r="M90"/>
  <c r="S89"/>
  <c r="M89"/>
  <c r="V88"/>
  <c r="U88"/>
  <c r="T88"/>
  <c r="M88"/>
  <c r="I87"/>
  <c r="H87"/>
  <c r="F87"/>
  <c r="E87"/>
  <c r="M86"/>
  <c r="O86"/>
  <c r="M85"/>
  <c r="M84"/>
  <c r="O84"/>
  <c r="M83"/>
  <c r="Q83"/>
  <c r="M81"/>
  <c r="V80"/>
  <c r="J80"/>
  <c r="M80" s="1"/>
  <c r="Q80"/>
  <c r="AA79"/>
  <c r="M79"/>
  <c r="S78"/>
  <c r="M78"/>
  <c r="V77"/>
  <c r="U77"/>
  <c r="T77"/>
  <c r="M77"/>
  <c r="I76"/>
  <c r="H76"/>
  <c r="F76"/>
  <c r="E76"/>
  <c r="N76" s="1"/>
  <c r="M75"/>
  <c r="T75"/>
  <c r="U75" s="1"/>
  <c r="V75" s="1"/>
  <c r="M74"/>
  <c r="T74"/>
  <c r="U74" s="1"/>
  <c r="V74" s="1"/>
  <c r="T72"/>
  <c r="U72" s="1"/>
  <c r="K72"/>
  <c r="T71"/>
  <c r="U71" s="1"/>
  <c r="V71" s="1"/>
  <c r="K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O6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T32"/>
  <c r="U32" s="1"/>
  <c r="K32"/>
  <c r="M32" s="1"/>
  <c r="T31"/>
  <c r="U31" s="1"/>
  <c r="V31" s="1"/>
  <c r="K31"/>
  <c r="M31" s="1"/>
  <c r="Q29"/>
  <c r="M29"/>
  <c r="V28"/>
  <c r="Q28"/>
  <c r="V27"/>
  <c r="Q27"/>
  <c r="M25"/>
  <c r="S24"/>
  <c r="R24"/>
  <c r="R124" s="1"/>
  <c r="P24"/>
  <c r="P124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N33" i="14" l="1"/>
  <c r="O201" i="4"/>
  <c r="N201" s="1"/>
  <c r="O202"/>
  <c r="O205" s="1"/>
  <c r="O194"/>
  <c r="N194" s="1"/>
  <c r="T194" s="1"/>
  <c r="U194" s="1"/>
  <c r="O193"/>
  <c r="N193" s="1"/>
  <c r="T193" s="1"/>
  <c r="U193" s="1"/>
  <c r="P173"/>
  <c r="O173"/>
  <c r="R172"/>
  <c r="P172"/>
  <c r="O172"/>
  <c r="P169"/>
  <c r="O169"/>
  <c r="O168"/>
  <c r="N168" s="1"/>
  <c r="O167"/>
  <c r="N167" s="1"/>
  <c r="P164"/>
  <c r="O164"/>
  <c r="F188"/>
  <c r="R163"/>
  <c r="P163"/>
  <c r="O163"/>
  <c r="O156"/>
  <c r="N156" s="1"/>
  <c r="O154"/>
  <c r="N154" s="1"/>
  <c r="O153"/>
  <c r="N153" s="1"/>
  <c r="R151"/>
  <c r="P151"/>
  <c r="O151"/>
  <c r="P140"/>
  <c r="P136"/>
  <c r="O136"/>
  <c r="O138"/>
  <c r="N138" s="1"/>
  <c r="P134"/>
  <c r="O134"/>
  <c r="O131"/>
  <c r="N131" s="1"/>
  <c r="O130"/>
  <c r="N130" s="1"/>
  <c r="O129"/>
  <c r="N129" s="1"/>
  <c r="G135"/>
  <c r="R127"/>
  <c r="P127"/>
  <c r="O127"/>
  <c r="R125"/>
  <c r="O125"/>
  <c r="P125"/>
  <c r="G126"/>
  <c r="R116"/>
  <c r="P116"/>
  <c r="P126" s="1"/>
  <c r="O116"/>
  <c r="G105"/>
  <c r="O100"/>
  <c r="P100"/>
  <c r="O95"/>
  <c r="N95" s="1"/>
  <c r="P99"/>
  <c r="G99"/>
  <c r="O93"/>
  <c r="P93"/>
  <c r="R91"/>
  <c r="P91"/>
  <c r="O91"/>
  <c r="R83"/>
  <c r="O83"/>
  <c r="P83"/>
  <c r="O70"/>
  <c r="N70" s="1"/>
  <c r="G72"/>
  <c r="O68"/>
  <c r="P68"/>
  <c r="O62"/>
  <c r="N62" s="1"/>
  <c r="O61"/>
  <c r="N61" s="1"/>
  <c r="O59"/>
  <c r="P59"/>
  <c r="F82"/>
  <c r="O55"/>
  <c r="N55" s="1"/>
  <c r="O50"/>
  <c r="N50" s="1"/>
  <c r="G58"/>
  <c r="R48"/>
  <c r="P48"/>
  <c r="O48"/>
  <c r="O34"/>
  <c r="N34" s="1"/>
  <c r="R32"/>
  <c r="P32"/>
  <c r="O32"/>
  <c r="R30"/>
  <c r="O30"/>
  <c r="P30"/>
  <c r="O29"/>
  <c r="N29" s="1"/>
  <c r="P24"/>
  <c r="O24"/>
  <c r="F47"/>
  <c r="R22"/>
  <c r="O22"/>
  <c r="P22"/>
  <c r="O21"/>
  <c r="N21" s="1"/>
  <c r="O20"/>
  <c r="N20" s="1"/>
  <c r="O17"/>
  <c r="N17" s="1"/>
  <c r="O16"/>
  <c r="N16" s="1"/>
  <c r="O15"/>
  <c r="N15" s="1"/>
  <c r="G142"/>
  <c r="O141"/>
  <c r="N141" s="1"/>
  <c r="G107"/>
  <c r="O106"/>
  <c r="N106" s="1"/>
  <c r="G39"/>
  <c r="N38"/>
  <c r="N61" i="14"/>
  <c r="G104"/>
  <c r="Q104" s="1"/>
  <c r="Q103"/>
  <c r="T103" s="1"/>
  <c r="U103" s="1"/>
  <c r="Q108"/>
  <c r="G122"/>
  <c r="Q122" s="1"/>
  <c r="O15"/>
  <c r="O98"/>
  <c r="Q98"/>
  <c r="G55"/>
  <c r="Q55" s="1"/>
  <c r="Q20"/>
  <c r="Q18"/>
  <c r="O19"/>
  <c r="Q19"/>
  <c r="M104"/>
  <c r="Q118"/>
  <c r="N19"/>
  <c r="M26"/>
  <c r="M27"/>
  <c r="M28"/>
  <c r="M30"/>
  <c r="M37"/>
  <c r="Q44"/>
  <c r="M48"/>
  <c r="M59"/>
  <c r="M68"/>
  <c r="G76"/>
  <c r="M91"/>
  <c r="M93"/>
  <c r="M94"/>
  <c r="T97"/>
  <c r="U97" s="1"/>
  <c r="V97" s="1"/>
  <c r="M102"/>
  <c r="M108"/>
  <c r="M109"/>
  <c r="M110"/>
  <c r="N210" i="4"/>
  <c r="T206"/>
  <c r="T199"/>
  <c r="U199" s="1"/>
  <c r="T190"/>
  <c r="U190" s="1"/>
  <c r="T66"/>
  <c r="U66" s="1"/>
  <c r="T57"/>
  <c r="U57" s="1"/>
  <c r="T22"/>
  <c r="U22" s="1"/>
  <c r="P36"/>
  <c r="O36"/>
  <c r="O12"/>
  <c r="O23" s="1"/>
  <c r="P12"/>
  <c r="N205"/>
  <c r="R220"/>
  <c r="W220" s="1"/>
  <c r="X220" s="1"/>
  <c r="R37"/>
  <c r="S124" i="14"/>
  <c r="T19"/>
  <c r="U19" s="1"/>
  <c r="U24" i="4"/>
  <c r="O39"/>
  <c r="T67"/>
  <c r="U59"/>
  <c r="P92"/>
  <c r="O74"/>
  <c r="N73"/>
  <c r="N107"/>
  <c r="U106"/>
  <c r="O180"/>
  <c r="N283"/>
  <c r="N282"/>
  <c r="N281"/>
  <c r="N280"/>
  <c r="N279"/>
  <c r="N278"/>
  <c r="M278"/>
  <c r="M283"/>
  <c r="M282"/>
  <c r="M281"/>
  <c r="M280"/>
  <c r="M279"/>
  <c r="M294"/>
  <c r="M298"/>
  <c r="M297"/>
  <c r="M296"/>
  <c r="M295"/>
  <c r="N311"/>
  <c r="N310"/>
  <c r="N309"/>
  <c r="N308"/>
  <c r="N307"/>
  <c r="M307"/>
  <c r="M311"/>
  <c r="M310"/>
  <c r="M309"/>
  <c r="M308"/>
  <c r="N324"/>
  <c r="N323"/>
  <c r="N322"/>
  <c r="N321"/>
  <c r="N320"/>
  <c r="M320"/>
  <c r="M324"/>
  <c r="M323"/>
  <c r="M322"/>
  <c r="M321"/>
  <c r="P339"/>
  <c r="P338"/>
  <c r="P337"/>
  <c r="P336"/>
  <c r="P335"/>
  <c r="P334"/>
  <c r="P333"/>
  <c r="O333"/>
  <c r="O339"/>
  <c r="O338"/>
  <c r="O337"/>
  <c r="O336"/>
  <c r="O335"/>
  <c r="O334"/>
  <c r="O353"/>
  <c r="O352"/>
  <c r="O351"/>
  <c r="O350"/>
  <c r="O349"/>
  <c r="O348"/>
  <c r="N348"/>
  <c r="N353"/>
  <c r="N352"/>
  <c r="N351"/>
  <c r="N350"/>
  <c r="N349"/>
  <c r="R23"/>
  <c r="P23"/>
  <c r="G23"/>
  <c r="R24"/>
  <c r="R31" s="1"/>
  <c r="P31"/>
  <c r="G31"/>
  <c r="N36"/>
  <c r="G37"/>
  <c r="R57"/>
  <c r="R59"/>
  <c r="R67" s="1"/>
  <c r="P67"/>
  <c r="G67"/>
  <c r="G82" s="1"/>
  <c r="P72"/>
  <c r="T71"/>
  <c r="G74"/>
  <c r="R92"/>
  <c r="G92"/>
  <c r="G115" s="1"/>
  <c r="R98"/>
  <c r="R100"/>
  <c r="R105" s="1"/>
  <c r="U104"/>
  <c r="O107"/>
  <c r="S221"/>
  <c r="L298"/>
  <c r="L297"/>
  <c r="L296"/>
  <c r="L295"/>
  <c r="O295" s="1"/>
  <c r="L294"/>
  <c r="N298"/>
  <c r="N297"/>
  <c r="N296"/>
  <c r="N295"/>
  <c r="N294"/>
  <c r="N22"/>
  <c r="N30"/>
  <c r="P58"/>
  <c r="N66"/>
  <c r="R68"/>
  <c r="R72" s="1"/>
  <c r="N71"/>
  <c r="N91"/>
  <c r="R93"/>
  <c r="R99" s="1"/>
  <c r="P105"/>
  <c r="R126"/>
  <c r="N125"/>
  <c r="Q221"/>
  <c r="P135"/>
  <c r="R134"/>
  <c r="R135" s="1"/>
  <c r="R136"/>
  <c r="R140" s="1"/>
  <c r="T139"/>
  <c r="G140"/>
  <c r="G150" s="1"/>
  <c r="R162"/>
  <c r="P162"/>
  <c r="T161"/>
  <c r="G162"/>
  <c r="R164"/>
  <c r="R171" s="1"/>
  <c r="N169"/>
  <c r="T170"/>
  <c r="G171"/>
  <c r="P177"/>
  <c r="R173"/>
  <c r="R177" s="1"/>
  <c r="T176"/>
  <c r="G177"/>
  <c r="G180"/>
  <c r="N189"/>
  <c r="T189" s="1"/>
  <c r="P197"/>
  <c r="P220" s="1"/>
  <c r="N198"/>
  <c r="T198" s="1"/>
  <c r="T208"/>
  <c r="U208" s="1"/>
  <c r="T209"/>
  <c r="U209" s="1"/>
  <c r="N211"/>
  <c r="L273"/>
  <c r="N273"/>
  <c r="L276"/>
  <c r="L277" s="1"/>
  <c r="L289"/>
  <c r="L302"/>
  <c r="N302"/>
  <c r="L305"/>
  <c r="L306" s="1"/>
  <c r="L315"/>
  <c r="N315"/>
  <c r="L318"/>
  <c r="L319" s="1"/>
  <c r="N328"/>
  <c r="P328"/>
  <c r="N331"/>
  <c r="N332" s="1"/>
  <c r="M343"/>
  <c r="O343"/>
  <c r="M346"/>
  <c r="M347" s="1"/>
  <c r="N160"/>
  <c r="X179"/>
  <c r="N195"/>
  <c r="V19" i="14"/>
  <c r="M20"/>
  <c r="V32"/>
  <c r="V40"/>
  <c r="V52"/>
  <c r="V72"/>
  <c r="M44"/>
  <c r="O55"/>
  <c r="N55"/>
  <c r="M55"/>
  <c r="V111"/>
  <c r="O122"/>
  <c r="T122" s="1"/>
  <c r="M122"/>
  <c r="V119"/>
  <c r="M15"/>
  <c r="M16"/>
  <c r="M17"/>
  <c r="U21"/>
  <c r="AB11" s="1"/>
  <c r="N15"/>
  <c r="T16"/>
  <c r="U16" s="1"/>
  <c r="T17"/>
  <c r="U17" s="1"/>
  <c r="V17" s="1"/>
  <c r="O14"/>
  <c r="T21"/>
  <c r="Q26"/>
  <c r="O27"/>
  <c r="O28"/>
  <c r="T29"/>
  <c r="U29" s="1"/>
  <c r="V29" s="1"/>
  <c r="Q30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80"/>
  <c r="Q81"/>
  <c r="Q82"/>
  <c r="T84"/>
  <c r="U84" s="1"/>
  <c r="V84" s="1"/>
  <c r="O85"/>
  <c r="T85" s="1"/>
  <c r="U85" s="1"/>
  <c r="V85" s="1"/>
  <c r="T86"/>
  <c r="U86" s="1"/>
  <c r="V86" s="1"/>
  <c r="G87"/>
  <c r="Q87" s="1"/>
  <c r="Q91"/>
  <c r="M98"/>
  <c r="N102"/>
  <c r="Q102"/>
  <c r="Q109"/>
  <c r="Q110"/>
  <c r="G113"/>
  <c r="Q113" s="1"/>
  <c r="N117"/>
  <c r="Q117"/>
  <c r="Q116" s="1"/>
  <c r="Q115" s="1"/>
  <c r="N27"/>
  <c r="N28"/>
  <c r="T28" s="1"/>
  <c r="Q39"/>
  <c r="T39" s="1"/>
  <c r="U39" s="1"/>
  <c r="V39" s="1"/>
  <c r="Q51"/>
  <c r="O67"/>
  <c r="O66" s="1"/>
  <c r="N80"/>
  <c r="T93"/>
  <c r="U93" s="1"/>
  <c r="V93" s="1"/>
  <c r="T94"/>
  <c r="U94" s="1"/>
  <c r="V94" s="1"/>
  <c r="O116"/>
  <c r="O115" s="1"/>
  <c r="Q101" l="1"/>
  <c r="Q100" s="1"/>
  <c r="O20"/>
  <c r="T20" s="1"/>
  <c r="U20" s="1"/>
  <c r="V20" s="1"/>
  <c r="N44"/>
  <c r="O13"/>
  <c r="N202" i="4"/>
  <c r="P150"/>
  <c r="T107"/>
  <c r="U107" s="1"/>
  <c r="R47"/>
  <c r="T104" i="14"/>
  <c r="U104" s="1"/>
  <c r="V104" s="1"/>
  <c r="T98"/>
  <c r="U98" s="1"/>
  <c r="V98" s="1"/>
  <c r="T109"/>
  <c r="U109" s="1"/>
  <c r="V109" s="1"/>
  <c r="Q58"/>
  <c r="Q107"/>
  <c r="Q106" s="1"/>
  <c r="X106" s="1"/>
  <c r="Y106" s="1"/>
  <c r="O25"/>
  <c r="Q79"/>
  <c r="Q78" s="1"/>
  <c r="Q14"/>
  <c r="T60"/>
  <c r="U60" s="1"/>
  <c r="V60" s="1"/>
  <c r="O44"/>
  <c r="N25"/>
  <c r="N24" s="1"/>
  <c r="Q13"/>
  <c r="X13" s="1"/>
  <c r="Y13" s="1"/>
  <c r="T102"/>
  <c r="U102" s="1"/>
  <c r="V102" s="1"/>
  <c r="O36"/>
  <c r="O35" s="1"/>
  <c r="O90"/>
  <c r="O89" s="1"/>
  <c r="Q90"/>
  <c r="Q89" s="1"/>
  <c r="M64"/>
  <c r="Q64"/>
  <c r="M33"/>
  <c r="Q33"/>
  <c r="Q47"/>
  <c r="Q36"/>
  <c r="Q25"/>
  <c r="Q24" s="1"/>
  <c r="N14"/>
  <c r="N13" s="1"/>
  <c r="O24"/>
  <c r="M76"/>
  <c r="Q76"/>
  <c r="Q66" s="1"/>
  <c r="T18"/>
  <c r="U18" s="1"/>
  <c r="V18" s="1"/>
  <c r="U122"/>
  <c r="V122" s="1"/>
  <c r="V103"/>
  <c r="V101" s="1"/>
  <c r="V100" s="1"/>
  <c r="T195" i="4"/>
  <c r="U195" s="1"/>
  <c r="T169"/>
  <c r="U169" s="1"/>
  <c r="T160"/>
  <c r="U160" s="1"/>
  <c r="T91"/>
  <c r="U91" s="1"/>
  <c r="U67"/>
  <c r="T125"/>
  <c r="U125" s="1"/>
  <c r="T36"/>
  <c r="U36" s="1"/>
  <c r="T30"/>
  <c r="U30" s="1"/>
  <c r="U31" s="1"/>
  <c r="V16" i="14"/>
  <c r="N98" i="4"/>
  <c r="U98" s="1"/>
  <c r="T110" i="14"/>
  <c r="U110" s="1"/>
  <c r="V110" s="1"/>
  <c r="T82"/>
  <c r="U82" s="1"/>
  <c r="V82" s="1"/>
  <c r="T81"/>
  <c r="U81" s="1"/>
  <c r="T51"/>
  <c r="U51" s="1"/>
  <c r="V51" s="1"/>
  <c r="T50"/>
  <c r="U50" s="1"/>
  <c r="V50" s="1"/>
  <c r="T49"/>
  <c r="U49" s="1"/>
  <c r="V49" s="1"/>
  <c r="O171" i="4"/>
  <c r="N163"/>
  <c r="T163" s="1"/>
  <c r="M353"/>
  <c r="P353" s="1"/>
  <c r="M352"/>
  <c r="P352" s="1"/>
  <c r="M351"/>
  <c r="P351" s="1"/>
  <c r="M350"/>
  <c r="P350" s="1"/>
  <c r="M349"/>
  <c r="P349" s="1"/>
  <c r="M348"/>
  <c r="P348" s="1"/>
  <c r="L324"/>
  <c r="O324" s="1"/>
  <c r="L323"/>
  <c r="O323" s="1"/>
  <c r="L322"/>
  <c r="O322" s="1"/>
  <c r="L321"/>
  <c r="O321" s="1"/>
  <c r="L320"/>
  <c r="O320" s="1"/>
  <c r="N212"/>
  <c r="U211"/>
  <c r="U198"/>
  <c r="T205"/>
  <c r="U205" s="1"/>
  <c r="V189"/>
  <c r="O142"/>
  <c r="N136"/>
  <c r="T136" s="1"/>
  <c r="O140"/>
  <c r="O37"/>
  <c r="N32"/>
  <c r="T32" s="1"/>
  <c r="N83"/>
  <c r="T83" s="1"/>
  <c r="O92"/>
  <c r="N24"/>
  <c r="N31" s="1"/>
  <c r="O31"/>
  <c r="N12"/>
  <c r="T12" s="1"/>
  <c r="N180"/>
  <c r="N74"/>
  <c r="U73"/>
  <c r="N39"/>
  <c r="P171"/>
  <c r="P188" s="1"/>
  <c r="R188"/>
  <c r="N134"/>
  <c r="R150"/>
  <c r="W150" s="1"/>
  <c r="X150" s="1"/>
  <c r="O294"/>
  <c r="O296"/>
  <c r="O298"/>
  <c r="O197"/>
  <c r="R58"/>
  <c r="R82" s="1"/>
  <c r="P37"/>
  <c r="P47" s="1"/>
  <c r="P115"/>
  <c r="T31"/>
  <c r="O177"/>
  <c r="N172"/>
  <c r="T172" s="1"/>
  <c r="O135"/>
  <c r="N127"/>
  <c r="T127" s="1"/>
  <c r="N339"/>
  <c r="Q339" s="1"/>
  <c r="N338"/>
  <c r="Q338" s="1"/>
  <c r="N337"/>
  <c r="Q337" s="1"/>
  <c r="N336"/>
  <c r="Q336" s="1"/>
  <c r="N335"/>
  <c r="Q335" s="1"/>
  <c r="N334"/>
  <c r="Q334" s="1"/>
  <c r="N333"/>
  <c r="Q333" s="1"/>
  <c r="L311"/>
  <c r="O311" s="1"/>
  <c r="L310"/>
  <c r="O310" s="1"/>
  <c r="L309"/>
  <c r="O309" s="1"/>
  <c r="L308"/>
  <c r="O308" s="1"/>
  <c r="L307"/>
  <c r="O307" s="1"/>
  <c r="L283"/>
  <c r="O283" s="1"/>
  <c r="L282"/>
  <c r="O282" s="1"/>
  <c r="L281"/>
  <c r="O281" s="1"/>
  <c r="L280"/>
  <c r="O280" s="1"/>
  <c r="L279"/>
  <c r="O279" s="1"/>
  <c r="L278"/>
  <c r="O278" s="1"/>
  <c r="T210"/>
  <c r="U206"/>
  <c r="U210" s="1"/>
  <c r="X178"/>
  <c r="G188"/>
  <c r="Y179" s="1"/>
  <c r="N151"/>
  <c r="T151" s="1"/>
  <c r="O162"/>
  <c r="O126"/>
  <c r="N116"/>
  <c r="T116" s="1"/>
  <c r="O99"/>
  <c r="N93"/>
  <c r="O72"/>
  <c r="N68"/>
  <c r="T68" s="1"/>
  <c r="O105"/>
  <c r="N100"/>
  <c r="T100" s="1"/>
  <c r="N59"/>
  <c r="N67" s="1"/>
  <c r="O67"/>
  <c r="O58"/>
  <c r="O82" s="1"/>
  <c r="N48"/>
  <c r="T48" s="1"/>
  <c r="W23"/>
  <c r="W47"/>
  <c r="N173"/>
  <c r="N164"/>
  <c r="P82"/>
  <c r="O297"/>
  <c r="R115"/>
  <c r="N57"/>
  <c r="G47"/>
  <c r="T80" i="14"/>
  <c r="N79"/>
  <c r="T59"/>
  <c r="N58"/>
  <c r="N57" s="1"/>
  <c r="N113"/>
  <c r="N107" s="1"/>
  <c r="N106" s="1"/>
  <c r="M113"/>
  <c r="O113"/>
  <c r="O107" s="1"/>
  <c r="O106" s="1"/>
  <c r="T101"/>
  <c r="N101"/>
  <c r="N100" s="1"/>
  <c r="N87"/>
  <c r="T87" s="1"/>
  <c r="U87" s="1"/>
  <c r="M87"/>
  <c r="T48"/>
  <c r="N47"/>
  <c r="N46" s="1"/>
  <c r="T37"/>
  <c r="U37" s="1"/>
  <c r="N36"/>
  <c r="N35" s="1"/>
  <c r="T26"/>
  <c r="T15"/>
  <c r="T14" s="1"/>
  <c r="AB13"/>
  <c r="AC13" s="1"/>
  <c r="T108"/>
  <c r="T117"/>
  <c r="U117" s="1"/>
  <c r="V117" s="1"/>
  <c r="N116"/>
  <c r="N115" s="1"/>
  <c r="T91"/>
  <c r="T68"/>
  <c r="U68" s="1"/>
  <c r="N67"/>
  <c r="N66" s="1"/>
  <c r="O101"/>
  <c r="O100" s="1"/>
  <c r="T83"/>
  <c r="U83" s="1"/>
  <c r="V83" s="1"/>
  <c r="T38"/>
  <c r="U38" s="1"/>
  <c r="V38" s="1"/>
  <c r="T27"/>
  <c r="T118"/>
  <c r="U118" s="1"/>
  <c r="O79"/>
  <c r="O78" s="1"/>
  <c r="T70"/>
  <c r="T69"/>
  <c r="U69" s="1"/>
  <c r="V69" s="1"/>
  <c r="Q46"/>
  <c r="T30"/>
  <c r="U30" s="1"/>
  <c r="V30" s="1"/>
  <c r="T55"/>
  <c r="U55" s="1"/>
  <c r="V55" s="1"/>
  <c r="AB100" l="1"/>
  <c r="AC100" s="1"/>
  <c r="X100"/>
  <c r="Y100" s="1"/>
  <c r="Q57"/>
  <c r="AB57" s="1"/>
  <c r="T44"/>
  <c r="U44" s="1"/>
  <c r="V44" s="1"/>
  <c r="Z179" i="4"/>
  <c r="Z180" s="1"/>
  <c r="O150"/>
  <c r="P221"/>
  <c r="R221"/>
  <c r="O47"/>
  <c r="T212"/>
  <c r="U212" s="1"/>
  <c r="T74"/>
  <c r="U74" s="1"/>
  <c r="T76" i="14"/>
  <c r="U76" s="1"/>
  <c r="V76" s="1"/>
  <c r="T33"/>
  <c r="U33" s="1"/>
  <c r="V33" s="1"/>
  <c r="T64"/>
  <c r="U64" s="1"/>
  <c r="V64" s="1"/>
  <c r="Q35"/>
  <c r="Q124" s="1"/>
  <c r="AB106"/>
  <c r="AC106" s="1"/>
  <c r="U14"/>
  <c r="U13" s="1"/>
  <c r="X15" s="1"/>
  <c r="AB89"/>
  <c r="AC89" s="1"/>
  <c r="X89"/>
  <c r="Y89" s="1"/>
  <c r="X78"/>
  <c r="Y78" s="1"/>
  <c r="AB78"/>
  <c r="AC78" s="1"/>
  <c r="O124"/>
  <c r="V14"/>
  <c r="V13" s="1"/>
  <c r="U101"/>
  <c r="U100" s="1"/>
  <c r="V68"/>
  <c r="T90"/>
  <c r="U91"/>
  <c r="T107"/>
  <c r="U108"/>
  <c r="V37"/>
  <c r="V36" s="1"/>
  <c r="V35" s="1"/>
  <c r="U36"/>
  <c r="T47"/>
  <c r="U48"/>
  <c r="U70"/>
  <c r="V70" s="1"/>
  <c r="T58"/>
  <c r="U59"/>
  <c r="U79"/>
  <c r="V81"/>
  <c r="V79" s="1"/>
  <c r="V118"/>
  <c r="V116" s="1"/>
  <c r="V115" s="1"/>
  <c r="U116"/>
  <c r="U115" s="1"/>
  <c r="X117" s="1"/>
  <c r="T100"/>
  <c r="U26"/>
  <c r="T25"/>
  <c r="T197" i="4"/>
  <c r="T173"/>
  <c r="U173" s="1"/>
  <c r="T164"/>
  <c r="U164" s="1"/>
  <c r="W82"/>
  <c r="X82" s="1"/>
  <c r="N99"/>
  <c r="T93"/>
  <c r="T134"/>
  <c r="U134" s="1"/>
  <c r="T13" i="14"/>
  <c r="W115" i="4"/>
  <c r="X115" s="1"/>
  <c r="O188"/>
  <c r="N188" s="1"/>
  <c r="N150"/>
  <c r="N58"/>
  <c r="N105"/>
  <c r="N72"/>
  <c r="N126"/>
  <c r="N135"/>
  <c r="N177"/>
  <c r="O220"/>
  <c r="N197"/>
  <c r="W188"/>
  <c r="X188" s="1"/>
  <c r="N23"/>
  <c r="N92"/>
  <c r="N140"/>
  <c r="N142"/>
  <c r="U141"/>
  <c r="N171"/>
  <c r="X47"/>
  <c r="N162"/>
  <c r="T39"/>
  <c r="U38"/>
  <c r="U39" s="1"/>
  <c r="U178"/>
  <c r="T180"/>
  <c r="U180" s="1"/>
  <c r="N37"/>
  <c r="U189"/>
  <c r="U197" s="1"/>
  <c r="U220" s="1"/>
  <c r="N82"/>
  <c r="N47"/>
  <c r="O115"/>
  <c r="AB24" i="14"/>
  <c r="AC24" s="1"/>
  <c r="X24"/>
  <c r="Y24" s="1"/>
  <c r="AB35"/>
  <c r="AC35" s="1"/>
  <c r="AB66"/>
  <c r="AC66" s="1"/>
  <c r="X66"/>
  <c r="Y66" s="1"/>
  <c r="V87"/>
  <c r="V78" s="1"/>
  <c r="U78"/>
  <c r="AB46"/>
  <c r="AC46" s="1"/>
  <c r="X46"/>
  <c r="Y46" s="1"/>
  <c r="AB115"/>
  <c r="AC115" s="1"/>
  <c r="X115"/>
  <c r="Y115" s="1"/>
  <c r="T36"/>
  <c r="N78"/>
  <c r="T67"/>
  <c r="T116"/>
  <c r="T113"/>
  <c r="U113" s="1"/>
  <c r="T79"/>
  <c r="X57" l="1"/>
  <c r="Y57" s="1"/>
  <c r="U35"/>
  <c r="X37" s="1"/>
  <c r="X35"/>
  <c r="Y35" s="1"/>
  <c r="AA12"/>
  <c r="T142" i="4"/>
  <c r="U142" s="1"/>
  <c r="N115"/>
  <c r="T35" i="14"/>
  <c r="T78"/>
  <c r="N124"/>
  <c r="T24"/>
  <c r="T57"/>
  <c r="T66"/>
  <c r="T46"/>
  <c r="T89"/>
  <c r="AB101"/>
  <c r="X102"/>
  <c r="W70"/>
  <c r="V67"/>
  <c r="V66" s="1"/>
  <c r="U58"/>
  <c r="U57" s="1"/>
  <c r="V59"/>
  <c r="V58" s="1"/>
  <c r="V57" s="1"/>
  <c r="U47"/>
  <c r="U46" s="1"/>
  <c r="AB47" s="1"/>
  <c r="V48"/>
  <c r="V47" s="1"/>
  <c r="V46" s="1"/>
  <c r="U107"/>
  <c r="U106" s="1"/>
  <c r="V108"/>
  <c r="V107" s="1"/>
  <c r="U90"/>
  <c r="U89" s="1"/>
  <c r="V91"/>
  <c r="V90" s="1"/>
  <c r="V89" s="1"/>
  <c r="U67"/>
  <c r="U66" s="1"/>
  <c r="T115"/>
  <c r="AB116"/>
  <c r="U25"/>
  <c r="U24" s="1"/>
  <c r="V26"/>
  <c r="V25" s="1"/>
  <c r="V24" s="1"/>
  <c r="N220" i="4"/>
  <c r="N221" s="1"/>
  <c r="O221"/>
  <c r="T105"/>
  <c r="U100"/>
  <c r="U105" s="1"/>
  <c r="T58"/>
  <c r="U48"/>
  <c r="U58" s="1"/>
  <c r="V143"/>
  <c r="T37"/>
  <c r="U32"/>
  <c r="U37" s="1"/>
  <c r="T162"/>
  <c r="U151"/>
  <c r="U162" s="1"/>
  <c r="W177"/>
  <c r="T171"/>
  <c r="U163"/>
  <c r="U171" s="1"/>
  <c r="T140"/>
  <c r="U136"/>
  <c r="U140" s="1"/>
  <c r="T92"/>
  <c r="U83"/>
  <c r="T23"/>
  <c r="U12"/>
  <c r="U23" s="1"/>
  <c r="U47" s="1"/>
  <c r="T177"/>
  <c r="U172"/>
  <c r="U177" s="1"/>
  <c r="U127"/>
  <c r="U135" s="1"/>
  <c r="T135"/>
  <c r="T126"/>
  <c r="U116"/>
  <c r="U93"/>
  <c r="U99" s="1"/>
  <c r="T99"/>
  <c r="U68"/>
  <c r="U72" s="1"/>
  <c r="T72"/>
  <c r="V113" i="14"/>
  <c r="X48"/>
  <c r="AB79"/>
  <c r="X81"/>
  <c r="T106"/>
  <c r="AB36" l="1"/>
  <c r="V106"/>
  <c r="T124"/>
  <c r="X68"/>
  <c r="AB67"/>
  <c r="V124"/>
  <c r="AB90"/>
  <c r="X91"/>
  <c r="X59"/>
  <c r="AB58"/>
  <c r="AB20"/>
  <c r="X26"/>
  <c r="U124"/>
  <c r="T47" i="4"/>
  <c r="T150"/>
  <c r="W142" s="1"/>
  <c r="U126"/>
  <c r="U150" s="1"/>
  <c r="T115"/>
  <c r="W105" s="1"/>
  <c r="U92"/>
  <c r="U115" s="1"/>
  <c r="T188"/>
  <c r="T82"/>
  <c r="W71" s="1"/>
  <c r="U188"/>
  <c r="U82"/>
  <c r="AB107" i="14"/>
  <c r="X109"/>
  <c r="U221" i="4" l="1"/>
  <c r="W35"/>
  <c r="W178"/>
  <c r="W179" s="1"/>
  <c r="Z188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20" i="4" l="1"/>
  <c r="W211" l="1"/>
  <c r="T221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<sst xmlns="http://schemas.openxmlformats.org/spreadsheetml/2006/main" count="3891" uniqueCount="402">
  <si>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</si>
  <si>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</si>
  <si>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</si>
  <si>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</si>
  <si>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</si>
  <si>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</si>
  <si>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</si>
  <si>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</si>
  <si>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</si>
  <si>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</si>
  <si>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</si>
  <si>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</si>
  <si>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</si>
  <si>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</si>
  <si>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</si>
  <si>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</si>
  <si>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</si>
  <si>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</si>
  <si>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</si>
  <si>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</si>
  <si>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</si>
  <si>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</si>
  <si>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</si>
  <si>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</si>
  <si>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</si>
  <si>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</si>
  <si>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</si>
  <si>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</si>
  <si>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</si>
  <si>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</si>
  <si>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</si>
  <si>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</si>
  <si>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</si>
  <si>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</si>
  <si>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</si>
  <si>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</si>
  <si>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</si>
  <si>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</si>
  <si>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</si>
  <si>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</si>
  <si>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</si>
  <si>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</si>
  <si>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</si>
  <si>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</si>
  <si>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</si>
  <si>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</si>
  <si>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</si>
  <si>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</si>
  <si>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</si>
  <si>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</si>
  <si>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</si>
  <si>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</si>
  <si>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</si>
  <si>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</si>
  <si>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</si>
  <si>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</si>
  <si>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</si>
  <si>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</si>
  <si>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</si>
  <si>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</si>
  <si>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</si>
  <si>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</si>
  <si>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</si>
  <si>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</si>
  <si>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</si>
  <si>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</si>
  <si>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</si>
  <si>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</si>
  <si>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</si>
  <si>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</si>
  <si>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</si>
  <si>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</si>
  <si>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</si>
  <si>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</si>
  <si>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</si>
  <si>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</si>
  <si>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</si>
  <si>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</si>
  <si>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</si>
  <si>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</si>
  <si>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</si>
  <si>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</si>
  <si>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</si>
  <si>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</si>
  <si>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</si>
  <si>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</si>
  <si>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</si>
  <si>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</si>
  <si>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</si>
  <si>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</si>
  <si>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</si>
  <si>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</si>
  <si>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</si>
  <si>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</si>
  <si>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</si>
  <si>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</si>
  <si>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</si>
  <si>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</si>
  <si>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</si>
  <si>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</si>
  <si>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</si>
  <si>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</si>
  <si>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</si>
  <si>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</si>
  <si>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</si>
  <si>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</si>
  <si>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</si>
  <si>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</si>
  <si>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</si>
  <si>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</si>
  <si>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</si>
  <si>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</si>
  <si>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</si>
  <si>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</si>
  <si>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</si>
  <si>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</si>
  <si>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</si>
  <si>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</si>
  <si>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</si>
  <si>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</si>
  <si>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</si>
  <si>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</si>
  <si>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</si>
  <si>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</si>
  <si>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</si>
  <si>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</si>
  <si>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</si>
  <si>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</si>
  <si>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</si>
  <si>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</si>
  <si>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</si>
  <si>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</si>
  <si>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</si>
  <si>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</si>
  <si>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</si>
  <si>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</si>
  <si>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</si>
  <si>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</si>
  <si>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</si>
  <si>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</si>
  <si>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</si>
  <si>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</si>
  <si>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</si>
  <si>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</si>
  <si>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</si>
  <si>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</si>
  <si>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</si>
  <si>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</si>
  <si>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</si>
  <si>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</si>
  <si>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</si>
  <si>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</si>
  <si>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</si>
  <si>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</si>
  <si>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</si>
  <si>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</si>
  <si>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</si>
  <si>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</si>
  <si>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</si>
  <si>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</si>
  <si>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</si>
  <si>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</si>
  <si>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</si>
  <si>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</si>
  <si>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</si>
  <si>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</si>
  <si>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</si>
  <si>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</si>
  <si>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</si>
  <si>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</si>
  <si>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</si>
  <si>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</si>
  <si>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</si>
  <si>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</si>
  <si>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</si>
  <si>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</si>
  <si>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</si>
  <si>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</si>
  <si>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</si>
  <si>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</si>
  <si>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</si>
  <si>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</si>
  <si>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</si>
  <si>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</si>
  <si>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</si>
  <si>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</si>
  <si>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</si>
  <si>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</si>
  <si>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</si>
  <si>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</si>
  <si>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</si>
  <si>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</si>
  <si>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</si>
  <si>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</si>
  <si>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</si>
  <si>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</si>
  <si>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</si>
  <si>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</si>
  <si>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</si>
  <si>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</si>
  <si>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</si>
  <si>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</si>
  <si>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</si>
  <si>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</si>
  <si>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</si>
  <si>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</si>
  <si>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</si>
  <si>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</si>
  <si>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</si>
  <si>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</si>
  <si>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</si>
  <si>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</si>
  <si>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</si>
  <si>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</si>
  <si>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</si>
  <si>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</si>
  <si>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</si>
  <si>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</si>
  <si>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</si>
  <si>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</si>
  <si>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</si>
  <si>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</si>
  <si>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</si>
  <si>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</si>
  <si>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</si>
  <si>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</si>
  <si>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</si>
  <si>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</si>
  <si>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</si>
  <si>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</si>
  <si>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</si>
  <si>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</si>
  <si>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</si>
  <si>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</si>
  <si>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</si>
  <si>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</si>
  <si>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</si>
  <si>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</si>
  <si>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</si>
  <si>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</si>
  <si>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</si>
  <si>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</si>
  <si>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</si>
  <si>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</si>
  <si>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</si>
  <si>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</si>
  <si>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</si>
  <si>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</si>
  <si>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</si>
  <si>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</si>
  <si>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</si>
  <si>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</si>
  <si>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</si>
  <si>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</si>
  <si>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</si>
  <si>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</si>
  <si>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</si>
  <si>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</si>
  <si>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</si>
  <si>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</si>
  <si>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</si>
  <si>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</si>
  <si>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</si>
  <si>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</si>
  <si>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</si>
  <si>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</si>
  <si>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</si>
  <si>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</si>
  <si>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</si>
  <si>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</si>
  <si>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</si>
  <si>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</si>
  <si>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</si>
  <si>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</si>
  <si>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</si>
  <si>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</si>
  <si>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</si>
  <si>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</si>
  <si>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</si>
  <si>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</si>
  <si>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</si>
  <si>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</si>
  <si>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</si>
  <si>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</si>
  <si>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</si>
  <si>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</si>
  <si>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</si>
  <si>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</si>
  <si>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</si>
  <si>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</si>
  <si>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</si>
  <si>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</si>
  <si>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</si>
  <si>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</si>
  <si>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</si>
  <si>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</si>
  <si>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</si>
  <si>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</si>
  <si>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</si>
  <si>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</si>
  <si>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</si>
  <si>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</si>
  <si>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</si>
  <si>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</si>
  <si>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</si>
  <si>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</si>
  <si>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</si>
  <si>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</si>
  <si>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</si>
  <si>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</si>
  <si>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</si>
  <si>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</si>
  <si>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</si>
  <si>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</si>
  <si>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</si>
  <si>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</si>
  <si>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</si>
  <si>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</si>
  <si>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</si>
  <si>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</si>
  <si>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</si>
  <si>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</si>
  <si>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</si>
  <si>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</si>
  <si>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</si>
  <si>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</si>
  <si>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</si>
  <si>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</si>
  <si>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</si>
  <si>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</si>
  <si>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</si>
  <si>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</si>
  <si>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</si>
  <si>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</si>
  <si>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</si>
  <si>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</si>
  <si>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</si>
  <si>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</si>
  <si>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</si>
  <si>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</si>
  <si>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</si>
  <si>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</si>
  <si>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</si>
  <si>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</si>
  <si>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</si>
  <si>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</si>
  <si>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</si>
  <si>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</si>
  <si>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</si>
  <si>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</si>
  <si>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</si>
  <si>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</si>
  <si>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</si>
  <si>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</si>
  <si>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</si>
  <si>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</si>
  <si>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</si>
  <si>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</si>
  <si>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</si>
  <si>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</si>
  <si>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</si>
  <si>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</si>
  <si>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</si>
  <si>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</si>
  <si>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</si>
  <si>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</si>
  <si>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</si>
  <si>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</si>
  <si>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</si>
  <si>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</si>
  <si>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</si>
  <si>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</si>
  <si>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</si>
  <si>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</si>
  <si>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</si>
  <si>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</si>
  <si>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</si>
  <si>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</si>
  <si>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</si>
  <si>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</si>
  <si>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</si>
  <si>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</si>
  <si>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к Приказу от 01.10.2021 г. № 181</t>
  </si>
  <si>
    <t>5\85</t>
  </si>
  <si>
    <t>4\60</t>
  </si>
  <si>
    <t>1\29</t>
  </si>
  <si>
    <t>5\86</t>
  </si>
  <si>
    <t>5\90</t>
  </si>
  <si>
    <t>2\12</t>
  </si>
  <si>
    <t>2\16</t>
  </si>
  <si>
    <t>1\21</t>
  </si>
  <si>
    <t>2\38</t>
  </si>
  <si>
    <t>5\78</t>
  </si>
  <si>
    <t>4\67</t>
  </si>
  <si>
    <t>6\105</t>
  </si>
  <si>
    <t>K4 Группы оздоровительной направленности (за исключением малокомплектных образовательных организаций), городской населенный пункт</t>
  </si>
  <si>
    <t>К12 Группы оздоровительной направленности, в которых воспитанники посещают бассейн</t>
  </si>
  <si>
    <t>от 3 до 7 лет (b8) t1/речь</t>
  </si>
  <si>
    <t>Базовый норматив затрат на единицу объема, на 01.10.21г.</t>
  </si>
  <si>
    <t>Нормативные затраты на оказание муницп-й услуги, на 01.10.21г.</t>
  </si>
  <si>
    <t>Корректировка бюджета 29.09.2021г. (сумма)</t>
  </si>
  <si>
    <t>корректировка 29.09.2021г.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</si>
</sst>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92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 vertical="center" wrapText="1"/>
    </xf>
    <xf numFmtId="4" fontId="28" fillId="12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2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167" fontId="41" fillId="13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4" fontId="28" fillId="14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4" fontId="28" fillId="14" borderId="3" xfId="0" applyNumberFormat="1" applyFont="1" applyFill="1" applyBorder="1" applyAlignment="1">
      <alignment horizontal="center"/>
    </xf>
    <xf numFmtId="0" fontId="16" fillId="5" borderId="3" xfId="0" applyFont="1" applyFill="1" applyBorder="1" applyAlignment="1">
      <alignment vertical="center" wrapText="1"/>
    </xf>
    <xf numFmtId="4" fontId="28" fillId="5" borderId="3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25" t="s">
        <v>1</v>
      </c>
      <c r="B3" s="425"/>
      <c r="C3" s="426"/>
      <c r="D3" s="425"/>
      <c r="E3" s="425"/>
      <c r="F3" s="425"/>
      <c r="G3" s="425"/>
      <c r="H3" s="425"/>
      <c r="I3" s="426"/>
      <c r="J3" s="425"/>
      <c r="K3" s="425"/>
      <c r="L3" s="425"/>
      <c r="M3" s="425"/>
      <c r="N3" s="426"/>
      <c r="O3" s="425"/>
      <c r="P3" s="425"/>
      <c r="Q3" s="425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19" t="s">
        <v>5</v>
      </c>
      <c r="F6" s="419"/>
      <c r="G6" s="419"/>
      <c r="H6" s="420" t="s">
        <v>6</v>
      </c>
      <c r="I6" s="420"/>
      <c r="J6" s="420"/>
      <c r="K6" s="420"/>
      <c r="L6" s="420" t="s">
        <v>7</v>
      </c>
      <c r="M6" s="420"/>
      <c r="N6" s="420"/>
      <c r="O6" s="420"/>
      <c r="P6" s="420"/>
      <c r="Q6" s="420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24" t="s">
        <v>8</v>
      </c>
      <c r="M7" s="424"/>
      <c r="N7" s="424"/>
      <c r="O7" s="424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28" t="s">
        <v>154</v>
      </c>
      <c r="B96" s="428"/>
      <c r="C96" s="42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27" t="s">
        <v>3</v>
      </c>
      <c r="B97" s="427" t="s">
        <v>86</v>
      </c>
      <c r="C97" s="7" t="s">
        <v>87</v>
      </c>
      <c r="D97" s="427" t="s">
        <v>4</v>
      </c>
      <c r="E97" s="427" t="s">
        <v>5</v>
      </c>
      <c r="F97" s="427"/>
      <c r="G97" s="427"/>
      <c r="H97" s="427" t="s">
        <v>6</v>
      </c>
      <c r="I97" s="427"/>
      <c r="J97" s="427"/>
      <c r="K97" s="427"/>
      <c r="L97" s="427" t="s">
        <v>7</v>
      </c>
      <c r="M97" s="427"/>
      <c r="N97" s="427"/>
      <c r="O97" s="427"/>
      <c r="P97" s="427"/>
      <c r="Q97" s="427"/>
    </row>
    <row r="98" spans="1:17" ht="110.4">
      <c r="A98" s="427"/>
      <c r="B98" s="427"/>
      <c r="C98" s="7"/>
      <c r="D98" s="427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23" t="s">
        <v>98</v>
      </c>
      <c r="B100" s="421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23"/>
      <c r="B101" s="421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23"/>
      <c r="B102" s="421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23"/>
      <c r="B103" s="421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23"/>
      <c r="B104" s="421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23"/>
      <c r="B105" s="421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23"/>
      <c r="B106" s="421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23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23"/>
      <c r="B108" s="421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23"/>
      <c r="B109" s="421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23"/>
      <c r="B110" s="421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23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23"/>
      <c r="B112" s="422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23"/>
      <c r="B113" s="422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23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23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23" t="s">
        <v>113</v>
      </c>
      <c r="B116" s="421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23"/>
      <c r="B117" s="421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23"/>
      <c r="B118" s="421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23"/>
      <c r="B119" s="421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23"/>
      <c r="B120" s="421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23"/>
      <c r="B121" s="421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23"/>
      <c r="B122" s="421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23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23"/>
      <c r="B124" s="421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23"/>
      <c r="B125" s="421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23"/>
      <c r="B126" s="421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23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23"/>
      <c r="B128" s="422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23"/>
      <c r="B129" s="422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23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23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23" t="s">
        <v>114</v>
      </c>
      <c r="B132" s="421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23"/>
      <c r="B133" s="421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23"/>
      <c r="B134" s="421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23"/>
      <c r="B135" s="421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23"/>
      <c r="B136" s="421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23"/>
      <c r="B137" s="421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23"/>
      <c r="B138" s="421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23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23"/>
      <c r="B140" s="421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23"/>
      <c r="B141" s="421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23"/>
      <c r="B142" s="421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23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23"/>
      <c r="B144" s="422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23"/>
      <c r="B145" s="422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23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23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23" t="s">
        <v>115</v>
      </c>
      <c r="B148" s="421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23"/>
      <c r="B149" s="421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23"/>
      <c r="B150" s="421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23"/>
      <c r="B151" s="421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23"/>
      <c r="B152" s="421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23"/>
      <c r="B153" s="421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23"/>
      <c r="B154" s="421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23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23"/>
      <c r="B156" s="421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23"/>
      <c r="B157" s="421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23"/>
      <c r="B158" s="421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23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23"/>
      <c r="B160" s="422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23"/>
      <c r="B161" s="422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23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23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23" t="s">
        <v>116</v>
      </c>
      <c r="B164" s="421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23"/>
      <c r="B165" s="421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23"/>
      <c r="B166" s="421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23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23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23"/>
      <c r="B169" s="421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23"/>
      <c r="B170" s="421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23"/>
      <c r="B171" s="421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23"/>
      <c r="B172" s="421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23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23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23"/>
      <c r="B175" s="421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23"/>
      <c r="B176" s="421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23"/>
      <c r="B177" s="421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23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23"/>
      <c r="B179" s="422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23"/>
      <c r="B180" s="422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23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23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23" t="s">
        <v>119</v>
      </c>
      <c r="B183" s="421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423"/>
      <c r="B184" s="421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23"/>
      <c r="B185" s="421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23"/>
      <c r="B186" s="421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23"/>
      <c r="B187" s="421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23"/>
      <c r="B188" s="421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23"/>
      <c r="B189" s="421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23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23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23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23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23"/>
      <c r="B194" s="422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23"/>
      <c r="B195" s="422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23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23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17" t="s">
        <v>5</v>
      </c>
      <c r="E199" s="417"/>
      <c r="F199" s="417"/>
      <c r="G199" s="418" t="s">
        <v>6</v>
      </c>
      <c r="H199" s="418" t="s">
        <v>7</v>
      </c>
      <c r="I199" s="418"/>
      <c r="J199" s="418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18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1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1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30" t="s">
        <v>207</v>
      </c>
      <c r="B5" s="430"/>
      <c r="C5" s="431"/>
      <c r="D5" s="430"/>
      <c r="E5" s="430"/>
      <c r="F5" s="431"/>
      <c r="G5" s="431"/>
      <c r="H5" s="430"/>
      <c r="I5" s="430"/>
      <c r="J5" s="430"/>
      <c r="K5" s="431"/>
      <c r="L5" s="430"/>
      <c r="M5" s="430"/>
      <c r="N5" s="430"/>
      <c r="O5" s="430"/>
      <c r="P5" s="431"/>
      <c r="Q5" s="431"/>
      <c r="R5" s="431"/>
      <c r="S5" s="431"/>
      <c r="T5" s="430"/>
      <c r="U5" s="430"/>
      <c r="V5" s="430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32" t="s">
        <v>6</v>
      </c>
      <c r="K8" s="433"/>
      <c r="L8" s="433"/>
      <c r="M8" s="434"/>
      <c r="N8" s="435" t="s">
        <v>7</v>
      </c>
      <c r="O8" s="435"/>
      <c r="P8" s="435"/>
      <c r="Q8" s="435"/>
      <c r="R8" s="435"/>
      <c r="S8" s="435"/>
      <c r="T8" s="435"/>
      <c r="U8" s="435"/>
      <c r="V8" s="435"/>
    </row>
    <row r="9" spans="1:24">
      <c r="A9" s="109"/>
      <c r="B9" s="109"/>
      <c r="C9" s="109"/>
      <c r="D9" s="109"/>
      <c r="E9" s="438"/>
      <c r="F9" s="439"/>
      <c r="G9" s="440"/>
      <c r="H9" s="108"/>
      <c r="I9" s="108"/>
      <c r="J9" s="142"/>
      <c r="K9" s="142"/>
      <c r="L9" s="142"/>
      <c r="M9" s="142"/>
      <c r="N9" s="432"/>
      <c r="O9" s="443"/>
      <c r="P9" s="443"/>
      <c r="Q9" s="443"/>
      <c r="R9" s="443"/>
      <c r="S9" s="443"/>
      <c r="T9" s="444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36" t="s">
        <v>176</v>
      </c>
      <c r="O10" s="436"/>
      <c r="P10" s="436"/>
      <c r="Q10" s="436"/>
      <c r="R10" s="436"/>
      <c r="S10" s="436"/>
      <c r="T10" s="436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45" t="s">
        <v>78</v>
      </c>
      <c r="D68" s="447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46"/>
      <c r="D69" s="448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37" t="s">
        <v>154</v>
      </c>
      <c r="B104" s="437"/>
      <c r="C104" s="437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41" t="s">
        <v>3</v>
      </c>
      <c r="B105" s="441" t="s">
        <v>86</v>
      </c>
      <c r="C105" s="114" t="s">
        <v>87</v>
      </c>
      <c r="D105" s="441" t="s">
        <v>4</v>
      </c>
      <c r="E105" s="442" t="s">
        <v>5</v>
      </c>
      <c r="F105" s="442"/>
      <c r="G105" s="442"/>
      <c r="H105" s="442"/>
      <c r="I105" s="442"/>
      <c r="J105" s="429" t="s">
        <v>6</v>
      </c>
      <c r="K105" s="429"/>
      <c r="L105" s="429"/>
      <c r="M105" s="429"/>
      <c r="N105" s="429" t="s">
        <v>7</v>
      </c>
      <c r="O105" s="429"/>
      <c r="P105" s="429"/>
      <c r="Q105" s="429"/>
      <c r="R105" s="429"/>
      <c r="S105" s="429"/>
      <c r="T105" s="429"/>
      <c r="U105" s="429"/>
      <c r="V105" s="429"/>
    </row>
    <row r="106" spans="1:22" ht="110.4">
      <c r="A106" s="441"/>
      <c r="B106" s="441"/>
      <c r="C106" s="114"/>
      <c r="D106" s="441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49" t="s">
        <v>98</v>
      </c>
      <c r="B108" s="451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49"/>
      <c r="B109" s="452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49"/>
      <c r="B110" s="452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49"/>
      <c r="B111" s="452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49"/>
      <c r="B112" s="452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49"/>
      <c r="B113" s="452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49"/>
      <c r="B114" s="452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49"/>
      <c r="B115" s="452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49"/>
      <c r="B116" s="452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49"/>
      <c r="B117" s="452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49"/>
      <c r="B118" s="452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49"/>
      <c r="B119" s="453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49"/>
      <c r="B120" s="450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49"/>
      <c r="B121" s="450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49"/>
      <c r="B122" s="450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49"/>
      <c r="B123" s="450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49"/>
      <c r="B124" s="450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49"/>
      <c r="B125" s="450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49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49"/>
      <c r="B127" s="450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49"/>
      <c r="B128" s="450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49"/>
      <c r="B129" s="450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49"/>
      <c r="B130" s="450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49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49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49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49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49" t="s">
        <v>113</v>
      </c>
      <c r="B135" s="450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49"/>
      <c r="B136" s="450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49"/>
      <c r="B137" s="450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49"/>
      <c r="B138" s="450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49"/>
      <c r="B139" s="450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49"/>
      <c r="B140" s="450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49"/>
      <c r="B141" s="450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49"/>
      <c r="B142" s="450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49"/>
      <c r="B143" s="450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49"/>
      <c r="B144" s="450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49"/>
      <c r="B145" s="450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49"/>
      <c r="B146" s="450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49"/>
      <c r="B147" s="450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49"/>
      <c r="B148" s="450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49"/>
      <c r="B149" s="450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49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49"/>
      <c r="B151" s="450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49"/>
      <c r="B152" s="450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49"/>
      <c r="B153" s="450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49"/>
      <c r="B154" s="450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49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49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49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49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49" t="s">
        <v>114</v>
      </c>
      <c r="B159" s="450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49"/>
      <c r="B160" s="450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49"/>
      <c r="B161" s="450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49"/>
      <c r="B162" s="450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49"/>
      <c r="B163" s="450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49"/>
      <c r="B164" s="450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49"/>
      <c r="B165" s="450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49"/>
      <c r="B166" s="450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49"/>
      <c r="B167" s="450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49"/>
      <c r="B168" s="450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49"/>
      <c r="B169" s="450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49"/>
      <c r="B170" s="450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49"/>
      <c r="B171" s="450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49"/>
      <c r="B172" s="450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49"/>
      <c r="B173" s="450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49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49"/>
      <c r="B175" s="450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49"/>
      <c r="B176" s="450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49"/>
      <c r="B177" s="450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49"/>
      <c r="B178" s="450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49"/>
      <c r="B179" s="450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49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49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49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49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49" t="s">
        <v>115</v>
      </c>
      <c r="B184" s="450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49"/>
      <c r="B185" s="450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49"/>
      <c r="B186" s="450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49"/>
      <c r="B187" s="450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49"/>
      <c r="B188" s="450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49"/>
      <c r="B189" s="450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49"/>
      <c r="B190" s="450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49"/>
      <c r="B191" s="450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49"/>
      <c r="B192" s="450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49"/>
      <c r="B193" s="450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49"/>
      <c r="B194" s="450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49"/>
      <c r="B195" s="450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49"/>
      <c r="B196" s="450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49"/>
      <c r="B197" s="450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49"/>
      <c r="B198" s="450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49"/>
      <c r="B199" s="450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49"/>
      <c r="B200" s="450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49"/>
      <c r="B201" s="450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49"/>
      <c r="B202" s="450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49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49"/>
      <c r="B204" s="450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49"/>
      <c r="B205" s="450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49"/>
      <c r="B206" s="450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49"/>
      <c r="B207" s="450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49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49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49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49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49" t="s">
        <v>116</v>
      </c>
      <c r="B212" s="451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49"/>
      <c r="B213" s="452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49"/>
      <c r="B214" s="452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49"/>
      <c r="B215" s="452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49"/>
      <c r="B216" s="452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49"/>
      <c r="B217" s="452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49"/>
      <c r="B218" s="452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49"/>
      <c r="B219" s="452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49"/>
      <c r="B220" s="452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49"/>
      <c r="B221" s="452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49"/>
      <c r="B222" s="453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49"/>
      <c r="B223" s="451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49"/>
      <c r="B224" s="452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49"/>
      <c r="B225" s="452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49"/>
      <c r="B226" s="452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49"/>
      <c r="B227" s="452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49"/>
      <c r="B228" s="452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49"/>
      <c r="B229" s="452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49"/>
      <c r="B230" s="452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49"/>
      <c r="B231" s="453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49"/>
      <c r="B232" s="451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49"/>
      <c r="B233" s="452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49"/>
      <c r="B234" s="452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49"/>
      <c r="B235" s="452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49"/>
      <c r="B236" s="452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49"/>
      <c r="B237" s="453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49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49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49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49" t="s">
        <v>119</v>
      </c>
      <c r="B241" s="450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49"/>
      <c r="B242" s="450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49"/>
      <c r="B243" s="450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49"/>
      <c r="B244" s="450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49"/>
      <c r="B245" s="450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49"/>
      <c r="B246" s="450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449"/>
      <c r="B247" s="450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449"/>
      <c r="B248" s="450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49"/>
      <c r="B249" s="450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49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49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49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49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49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49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49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49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49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49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49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49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49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54" t="s">
        <v>5</v>
      </c>
      <c r="E264" s="454"/>
      <c r="F264" s="454"/>
      <c r="G264" s="454"/>
      <c r="H264" s="454"/>
      <c r="I264" s="435" t="s">
        <v>6</v>
      </c>
      <c r="J264" s="435" t="s">
        <v>7</v>
      </c>
      <c r="K264" s="435"/>
      <c r="L264" s="435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35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7"/>
  <sheetViews>
    <sheetView tabSelected="1" zoomScale="70" zoomScaleNormal="70" workbookViewId="0">
      <pane xSplit="4" ySplit="11" topLeftCell="G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335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382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31" t="s">
        <v>332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</row>
    <row r="8" spans="1:21">
      <c r="A8" s="437" t="s">
        <v>154</v>
      </c>
      <c r="B8" s="437"/>
      <c r="C8" s="437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41" t="s">
        <v>3</v>
      </c>
      <c r="B9" s="441" t="s">
        <v>86</v>
      </c>
      <c r="C9" s="275" t="s">
        <v>87</v>
      </c>
      <c r="D9" s="441" t="s">
        <v>4</v>
      </c>
      <c r="E9" s="442" t="s">
        <v>5</v>
      </c>
      <c r="F9" s="442"/>
      <c r="G9" s="442"/>
      <c r="H9" s="442"/>
      <c r="I9" s="442"/>
      <c r="J9" s="429" t="s">
        <v>6</v>
      </c>
      <c r="K9" s="429"/>
      <c r="L9" s="429"/>
      <c r="M9" s="429"/>
      <c r="N9" s="459" t="s">
        <v>7</v>
      </c>
      <c r="O9" s="459"/>
      <c r="P9" s="459"/>
      <c r="Q9" s="459"/>
      <c r="R9" s="459"/>
      <c r="S9" s="459"/>
      <c r="T9" s="459"/>
      <c r="U9" s="459"/>
    </row>
    <row r="10" spans="1:21" ht="110.4">
      <c r="A10" s="441"/>
      <c r="B10" s="441"/>
      <c r="C10" s="275"/>
      <c r="D10" s="441"/>
      <c r="E10" s="287" t="s">
        <v>338</v>
      </c>
      <c r="F10" s="287" t="s">
        <v>341</v>
      </c>
      <c r="G10" s="287" t="s">
        <v>333</v>
      </c>
      <c r="H10" s="288" t="s">
        <v>260</v>
      </c>
      <c r="I10" s="288" t="s">
        <v>334</v>
      </c>
      <c r="J10" s="289" t="s">
        <v>88</v>
      </c>
      <c r="K10" s="290" t="s">
        <v>89</v>
      </c>
      <c r="L10" s="290" t="s">
        <v>90</v>
      </c>
      <c r="M10" s="289" t="s">
        <v>293</v>
      </c>
      <c r="N10" s="289" t="s">
        <v>336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337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49" t="s">
        <v>98</v>
      </c>
      <c r="B12" s="451" t="s">
        <v>237</v>
      </c>
      <c r="C12" s="61" t="s">
        <v>100</v>
      </c>
      <c r="D12" s="62" t="s">
        <v>101</v>
      </c>
      <c r="E12" s="123">
        <f>309</f>
        <v>309</v>
      </c>
      <c r="F12" s="123">
        <v>313</v>
      </c>
      <c r="G12" s="123">
        <f>((E12*8)+(F12*4))/12</f>
        <v>310.33333333333331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13321527.57</v>
      </c>
      <c r="O12" s="71">
        <f>G12*K12</f>
        <v>7637328.1600000001</v>
      </c>
      <c r="P12" s="71">
        <f>G12*L12</f>
        <v>1241950.8966666665</v>
      </c>
      <c r="Q12" s="71"/>
      <c r="R12" s="75">
        <f>G12*M12+0.47+62.23</f>
        <v>4442248.5133333327</v>
      </c>
      <c r="S12" s="46"/>
      <c r="T12" s="46">
        <f>N12</f>
        <v>13321527.57</v>
      </c>
      <c r="U12" s="46">
        <f>T12</f>
        <v>13321527.57</v>
      </c>
    </row>
    <row r="13" spans="1:21" ht="82.8">
      <c r="A13" s="449"/>
      <c r="B13" s="452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49"/>
      <c r="B14" s="452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49"/>
      <c r="B15" s="452"/>
      <c r="C15" s="63" t="s">
        <v>169</v>
      </c>
      <c r="D15" s="64"/>
      <c r="E15" s="123">
        <v>10</v>
      </c>
      <c r="F15" s="123">
        <v>18</v>
      </c>
      <c r="G15" s="123">
        <f t="shared" ref="G15:G32" si="0">((E15*8)+(F15*4))/12</f>
        <v>12.666666666666666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880114.70666666667</v>
      </c>
      <c r="O15" s="71">
        <f t="shared" ref="O15:O21" si="1">G15*K15</f>
        <v>880114.70666666667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49"/>
      <c r="B16" s="452"/>
      <c r="C16" s="63" t="s">
        <v>165</v>
      </c>
      <c r="D16" s="64"/>
      <c r="E16" s="123">
        <v>1</v>
      </c>
      <c r="F16" s="123">
        <v>2</v>
      </c>
      <c r="G16" s="123">
        <f t="shared" si="0"/>
        <v>1.3333333333333333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123455.13333333333</v>
      </c>
      <c r="O16" s="71">
        <f t="shared" si="1"/>
        <v>123455.13333333333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49"/>
      <c r="B17" s="452"/>
      <c r="C17" s="63" t="s">
        <v>166</v>
      </c>
      <c r="D17" s="64"/>
      <c r="E17" s="123">
        <v>34</v>
      </c>
      <c r="F17" s="123">
        <v>27</v>
      </c>
      <c r="G17" s="123">
        <f t="shared" si="0"/>
        <v>31.666666666666668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2105244.333333333</v>
      </c>
      <c r="O17" s="71">
        <f t="shared" si="1"/>
        <v>2105244.333333333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49"/>
      <c r="B18" s="452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49"/>
      <c r="B19" s="452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49"/>
      <c r="B20" s="452"/>
      <c r="C20" s="63" t="s">
        <v>170</v>
      </c>
      <c r="D20" s="64"/>
      <c r="E20" s="123">
        <v>1</v>
      </c>
      <c r="F20" s="123"/>
      <c r="G20" s="123">
        <f t="shared" si="0"/>
        <v>0.66666666666666663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66513.946666666656</v>
      </c>
      <c r="O20" s="71">
        <f t="shared" si="1"/>
        <v>66513.946666666656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49"/>
      <c r="B21" s="452"/>
      <c r="C21" s="63" t="s">
        <v>168</v>
      </c>
      <c r="D21" s="64"/>
      <c r="E21" s="123">
        <v>2</v>
      </c>
      <c r="F21" s="123">
        <v>1</v>
      </c>
      <c r="G21" s="123">
        <f t="shared" si="0"/>
        <v>1.6666666666666667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39464.65</v>
      </c>
      <c r="O21" s="71">
        <f t="shared" si="1"/>
        <v>39464.65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6.4" customHeight="1">
      <c r="A22" s="449"/>
      <c r="B22" s="452"/>
      <c r="C22" s="61" t="s">
        <v>105</v>
      </c>
      <c r="D22" s="64" t="s">
        <v>101</v>
      </c>
      <c r="E22" s="123">
        <v>5</v>
      </c>
      <c r="F22" s="123">
        <v>1</v>
      </c>
      <c r="G22" s="123">
        <f t="shared" si="0"/>
        <v>3.6666666666666665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517658.49666666659</v>
      </c>
      <c r="O22" s="71">
        <f>G22*K22</f>
        <v>450498.98666666663</v>
      </c>
      <c r="P22" s="71">
        <f>G22*L22</f>
        <v>14673.963333333331</v>
      </c>
      <c r="Q22" s="71"/>
      <c r="R22" s="75">
        <f>G22*M22</f>
        <v>52485.546666666662</v>
      </c>
      <c r="S22" s="46"/>
      <c r="T22" s="206">
        <f>H22*J22</f>
        <v>705897.95</v>
      </c>
      <c r="U22" s="206">
        <f>T22</f>
        <v>705897.95</v>
      </c>
    </row>
    <row r="23" spans="1:24">
      <c r="A23" s="449"/>
      <c r="B23" s="453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17053978.836666666</v>
      </c>
      <c r="O23" s="118">
        <f>SUM(O12:O22)</f>
        <v>11302619.916666666</v>
      </c>
      <c r="P23" s="118">
        <f>SUM(P12:P22)</f>
        <v>1256624.8599999999</v>
      </c>
      <c r="Q23" s="118"/>
      <c r="R23" s="118">
        <f>SUM(R12:R22)</f>
        <v>4494734.0599999996</v>
      </c>
      <c r="S23" s="205"/>
      <c r="T23" s="46">
        <f>SUM(T12:T22)</f>
        <v>17222340.370000001</v>
      </c>
      <c r="U23" s="46">
        <f>SUM(U12:U22)</f>
        <v>17222340.370000001</v>
      </c>
      <c r="W23" s="192">
        <f>R23+R31+R37+R43</f>
        <v>9958195.379999999</v>
      </c>
    </row>
    <row r="24" spans="1:24" ht="82.95" customHeight="1">
      <c r="A24" s="449"/>
      <c r="B24" s="450" t="s">
        <v>238</v>
      </c>
      <c r="C24" s="61" t="s">
        <v>100</v>
      </c>
      <c r="D24" s="62" t="s">
        <v>101</v>
      </c>
      <c r="E24" s="123">
        <v>279</v>
      </c>
      <c r="F24" s="123">
        <v>310</v>
      </c>
      <c r="G24" s="123">
        <f t="shared" si="0"/>
        <v>289.33333333333331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15827114.893333334</v>
      </c>
      <c r="O24" s="71">
        <f>G24*K24</f>
        <v>10454394.533333333</v>
      </c>
      <c r="P24" s="73">
        <f>G24*L24</f>
        <v>1157909.1066666665</v>
      </c>
      <c r="Q24" s="73"/>
      <c r="R24" s="75">
        <f>G24*M24</f>
        <v>4214811.2533333329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49"/>
      <c r="B25" s="450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49"/>
      <c r="B26" s="450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49"/>
      <c r="B27" s="450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9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49"/>
      <c r="B28" s="450"/>
      <c r="C28" s="63" t="s">
        <v>170</v>
      </c>
      <c r="D28" s="64" t="s">
        <v>101</v>
      </c>
      <c r="E28" s="122"/>
      <c r="F28" s="122">
        <v>1</v>
      </c>
      <c r="G28" s="123">
        <f t="shared" si="0"/>
        <v>0.33333333333333331</v>
      </c>
      <c r="H28" s="60"/>
      <c r="I28" s="60"/>
      <c r="J28" s="71">
        <f>K28</f>
        <v>32894.53</v>
      </c>
      <c r="K28" s="46">
        <v>32894.53</v>
      </c>
      <c r="L28" s="123" t="s">
        <v>104</v>
      </c>
      <c r="M28" s="59" t="s">
        <v>104</v>
      </c>
      <c r="N28" s="71">
        <f>O28</f>
        <v>10964.843333333332</v>
      </c>
      <c r="O28" s="71">
        <f t="shared" si="6"/>
        <v>10964.843333333332</v>
      </c>
      <c r="P28" s="59" t="s">
        <v>104</v>
      </c>
      <c r="Q28" s="59"/>
      <c r="R28" s="59" t="s">
        <v>104</v>
      </c>
      <c r="S28" s="123"/>
      <c r="T28" s="46">
        <f>H28*K28</f>
        <v>0</v>
      </c>
      <c r="U28" s="46">
        <f>I28*K28</f>
        <v>0</v>
      </c>
    </row>
    <row r="29" spans="1:24" ht="21" customHeight="1">
      <c r="A29" s="449"/>
      <c r="B29" s="450"/>
      <c r="C29" s="63" t="s">
        <v>168</v>
      </c>
      <c r="D29" s="64" t="s">
        <v>101</v>
      </c>
      <c r="E29" s="122">
        <v>1</v>
      </c>
      <c r="F29" s="122"/>
      <c r="G29" s="123">
        <f t="shared" si="0"/>
        <v>0.66666666666666663</v>
      </c>
      <c r="H29" s="60">
        <v>1</v>
      </c>
      <c r="I29" s="60">
        <v>1</v>
      </c>
      <c r="J29" s="71">
        <f>K29</f>
        <v>23678.79</v>
      </c>
      <c r="K29" s="46">
        <v>23678.79</v>
      </c>
      <c r="L29" s="123" t="s">
        <v>104</v>
      </c>
      <c r="M29" s="59" t="s">
        <v>104</v>
      </c>
      <c r="N29" s="71">
        <f>O29</f>
        <v>15785.86</v>
      </c>
      <c r="O29" s="71">
        <f t="shared" si="6"/>
        <v>15785.86</v>
      </c>
      <c r="P29" s="59" t="s">
        <v>104</v>
      </c>
      <c r="Q29" s="59"/>
      <c r="R29" s="59" t="s">
        <v>104</v>
      </c>
      <c r="S29" s="123"/>
      <c r="T29" s="46">
        <f>H29*K29</f>
        <v>23678.79</v>
      </c>
      <c r="U29" s="46">
        <f>I29*K29</f>
        <v>23678.79</v>
      </c>
    </row>
    <row r="30" spans="1:24" ht="87" customHeight="1">
      <c r="A30" s="449"/>
      <c r="B30" s="450"/>
      <c r="C30" s="61" t="s">
        <v>105</v>
      </c>
      <c r="D30" s="64" t="s">
        <v>101</v>
      </c>
      <c r="E30" s="122">
        <v>2</v>
      </c>
      <c r="F30" s="122">
        <v>3</v>
      </c>
      <c r="G30" s="123">
        <f t="shared" si="0"/>
        <v>2.3333333333333335</v>
      </c>
      <c r="H30" s="60">
        <v>2</v>
      </c>
      <c r="I30" s="60">
        <v>2</v>
      </c>
      <c r="J30" s="71">
        <f>K30</f>
        <v>153144.94</v>
      </c>
      <c r="K30" s="207">
        <f>151495.29+1649.65</f>
        <v>153144.94</v>
      </c>
      <c r="L30" s="211">
        <f>4001.99</f>
        <v>4001.99</v>
      </c>
      <c r="M30" s="70">
        <v>14567.32</v>
      </c>
      <c r="N30" s="71">
        <f>SUM(O30:R30)</f>
        <v>400666.58333333337</v>
      </c>
      <c r="O30" s="71">
        <f>G30*K30</f>
        <v>357338.19333333336</v>
      </c>
      <c r="P30" s="73">
        <f>G30*L30</f>
        <v>9337.9766666666674</v>
      </c>
      <c r="Q30" s="73"/>
      <c r="R30" s="75">
        <f>G30*M30</f>
        <v>33990.413333333338</v>
      </c>
      <c r="S30" s="46"/>
      <c r="T30" s="46">
        <f>N30</f>
        <v>400666.58333333337</v>
      </c>
      <c r="U30" s="46">
        <f>T30</f>
        <v>400666.58333333337</v>
      </c>
    </row>
    <row r="31" spans="1:24">
      <c r="A31" s="449"/>
      <c r="B31" s="274"/>
      <c r="C31" s="293" t="s">
        <v>106</v>
      </c>
      <c r="D31" s="64"/>
      <c r="E31" s="122">
        <f>E24+E30</f>
        <v>281</v>
      </c>
      <c r="F31" s="122">
        <f>F24+F30</f>
        <v>313</v>
      </c>
      <c r="G31" s="122">
        <f>G24+G30</f>
        <v>291.66666666666663</v>
      </c>
      <c r="H31" s="60">
        <f>H24+H30</f>
        <v>281</v>
      </c>
      <c r="I31" s="60">
        <f>I24+I30</f>
        <v>281</v>
      </c>
      <c r="J31" s="59" t="s">
        <v>104</v>
      </c>
      <c r="K31" s="123" t="s">
        <v>104</v>
      </c>
      <c r="L31" s="123" t="s">
        <v>104</v>
      </c>
      <c r="M31" s="59" t="s">
        <v>104</v>
      </c>
      <c r="N31" s="103">
        <f>SUM(N24:N30)</f>
        <v>17154504.780000001</v>
      </c>
      <c r="O31" s="103">
        <f t="shared" ref="O31:U31" si="7">SUM(O24:O30)</f>
        <v>11738456.029999999</v>
      </c>
      <c r="P31" s="103">
        <f t="shared" si="7"/>
        <v>1167247.083333333</v>
      </c>
      <c r="Q31" s="103"/>
      <c r="R31" s="103">
        <f t="shared" si="7"/>
        <v>4248801.666666666</v>
      </c>
      <c r="S31" s="185"/>
      <c r="T31" s="185">
        <f t="shared" si="7"/>
        <v>16586178.763333334</v>
      </c>
      <c r="U31" s="185">
        <f t="shared" si="7"/>
        <v>16586178.763333334</v>
      </c>
    </row>
    <row r="32" spans="1:24" ht="82.95" customHeight="1">
      <c r="A32" s="449"/>
      <c r="B32" s="451" t="s">
        <v>239</v>
      </c>
      <c r="C32" s="61" t="s">
        <v>100</v>
      </c>
      <c r="D32" s="62" t="s">
        <v>101</v>
      </c>
      <c r="E32" s="122">
        <v>23</v>
      </c>
      <c r="F32" s="122">
        <v>25</v>
      </c>
      <c r="G32" s="123">
        <f t="shared" si="0"/>
        <v>23.666666666666668</v>
      </c>
      <c r="H32" s="60">
        <v>23</v>
      </c>
      <c r="I32" s="60">
        <v>23</v>
      </c>
      <c r="J32" s="107">
        <f>SUM(K32:M32)</f>
        <v>62175.83</v>
      </c>
      <c r="K32" s="220">
        <f>41240.72+1998.78</f>
        <v>43239.5</v>
      </c>
      <c r="L32" s="211">
        <f>4001.99</f>
        <v>4001.99</v>
      </c>
      <c r="M32" s="70">
        <v>14934.34</v>
      </c>
      <c r="N32" s="73">
        <f>SUM(O32:R32)</f>
        <v>1471494.6433333333</v>
      </c>
      <c r="O32" s="73">
        <f>G32*K32</f>
        <v>1023334.8333333334</v>
      </c>
      <c r="P32" s="73">
        <f>G32*L32</f>
        <v>94713.763333333336</v>
      </c>
      <c r="Q32" s="73"/>
      <c r="R32" s="75">
        <f>G32*M32</f>
        <v>353446.04666666669</v>
      </c>
      <c r="S32" s="46"/>
      <c r="T32" s="46">
        <f>N32</f>
        <v>1471494.6433333333</v>
      </c>
      <c r="U32" s="46">
        <f>T32</f>
        <v>1471494.6433333333</v>
      </c>
    </row>
    <row r="33" spans="1:27" ht="82.8">
      <c r="A33" s="449"/>
      <c r="B33" s="452"/>
      <c r="C33" s="63" t="s">
        <v>102</v>
      </c>
      <c r="D33" s="64" t="s">
        <v>101</v>
      </c>
      <c r="E33" s="123" t="s">
        <v>104</v>
      </c>
      <c r="F33" s="123" t="s">
        <v>104</v>
      </c>
      <c r="G33" s="123" t="s">
        <v>104</v>
      </c>
      <c r="H33" s="59" t="s">
        <v>104</v>
      </c>
      <c r="I33" s="59" t="s">
        <v>104</v>
      </c>
      <c r="J33" s="59" t="s">
        <v>104</v>
      </c>
      <c r="K33" s="123" t="s">
        <v>104</v>
      </c>
      <c r="L33" s="123" t="s">
        <v>104</v>
      </c>
      <c r="M33" s="59" t="s">
        <v>104</v>
      </c>
      <c r="N33" s="71"/>
      <c r="O33" s="71"/>
      <c r="P33" s="59" t="s">
        <v>104</v>
      </c>
      <c r="Q33" s="59"/>
      <c r="R33" s="59" t="s">
        <v>104</v>
      </c>
      <c r="S33" s="123"/>
      <c r="T33" s="46"/>
      <c r="U33" s="46"/>
    </row>
    <row r="34" spans="1:27">
      <c r="A34" s="449"/>
      <c r="B34" s="452"/>
      <c r="C34" s="63" t="s">
        <v>165</v>
      </c>
      <c r="D34" s="64" t="s">
        <v>101</v>
      </c>
      <c r="E34" s="123">
        <v>1</v>
      </c>
      <c r="F34" s="123"/>
      <c r="G34" s="123">
        <f>((E34*8)+(F34*4))/12</f>
        <v>0.66666666666666663</v>
      </c>
      <c r="H34" s="59">
        <v>1</v>
      </c>
      <c r="I34" s="59">
        <v>1</v>
      </c>
      <c r="J34" s="71">
        <f>K34</f>
        <v>92591.35</v>
      </c>
      <c r="K34" s="46">
        <v>92591.35</v>
      </c>
      <c r="L34" s="123" t="s">
        <v>104</v>
      </c>
      <c r="M34" s="59" t="s">
        <v>104</v>
      </c>
      <c r="N34" s="71">
        <f>O34</f>
        <v>61727.566666666666</v>
      </c>
      <c r="O34" s="71">
        <f>G34*K34</f>
        <v>61727.566666666666</v>
      </c>
      <c r="P34" s="59" t="s">
        <v>104</v>
      </c>
      <c r="Q34" s="59"/>
      <c r="R34" s="59" t="s">
        <v>104</v>
      </c>
      <c r="S34" s="123"/>
      <c r="T34" s="46">
        <f>H34*K34</f>
        <v>92591.35</v>
      </c>
      <c r="U34" s="46">
        <f>I34*K34</f>
        <v>92591.35</v>
      </c>
      <c r="W34" s="182">
        <v>44402583.039999999</v>
      </c>
    </row>
    <row r="35" spans="1:27" ht="82.8">
      <c r="A35" s="449"/>
      <c r="B35" s="452"/>
      <c r="C35" s="61" t="s">
        <v>105</v>
      </c>
      <c r="D35" s="64" t="s">
        <v>101</v>
      </c>
      <c r="E35" s="122"/>
      <c r="F35" s="122"/>
      <c r="G35" s="122"/>
      <c r="H35" s="60"/>
      <c r="I35" s="60"/>
      <c r="J35" s="73"/>
      <c r="K35" s="207"/>
      <c r="L35" s="185"/>
      <c r="M35" s="73"/>
      <c r="N35" s="73"/>
      <c r="O35" s="73"/>
      <c r="P35" s="73"/>
      <c r="Q35" s="73"/>
      <c r="R35" s="73"/>
      <c r="S35" s="207"/>
      <c r="T35" s="46">
        <f>H35*J35</f>
        <v>0</v>
      </c>
      <c r="U35" s="46">
        <f>I35*J35</f>
        <v>0</v>
      </c>
      <c r="W35" s="192">
        <f>T47-W34</f>
        <v>833166.65666666627</v>
      </c>
    </row>
    <row r="36" spans="1:27" ht="92.4" customHeight="1">
      <c r="A36" s="449"/>
      <c r="B36" s="453"/>
      <c r="C36" s="61" t="s">
        <v>252</v>
      </c>
      <c r="D36" s="64" t="s">
        <v>101</v>
      </c>
      <c r="E36" s="122">
        <f>65</f>
        <v>65</v>
      </c>
      <c r="F36" s="122">
        <v>43</v>
      </c>
      <c r="G36" s="123">
        <f>((E36*8)+(F36*4))/12</f>
        <v>57.666666666666664</v>
      </c>
      <c r="H36" s="60">
        <v>84</v>
      </c>
      <c r="I36" s="60">
        <v>84</v>
      </c>
      <c r="J36" s="73">
        <f>K36+L36</f>
        <v>38383.49</v>
      </c>
      <c r="K36" s="207">
        <f>32382.72+1998.78</f>
        <v>34381.5</v>
      </c>
      <c r="L36" s="211">
        <f>4001.99</f>
        <v>4001.99</v>
      </c>
      <c r="M36" s="70">
        <v>14934.34</v>
      </c>
      <c r="N36" s="73">
        <f>SUM(O36:R36)</f>
        <v>3074661.5300000003</v>
      </c>
      <c r="O36" s="73">
        <f>G36*K36</f>
        <v>1982666.5</v>
      </c>
      <c r="P36" s="73">
        <f>G36*L36</f>
        <v>230781.42333333331</v>
      </c>
      <c r="Q36" s="59" t="s">
        <v>104</v>
      </c>
      <c r="R36" s="71">
        <f>M36*G36</f>
        <v>861213.60666666669</v>
      </c>
      <c r="S36" s="123" t="s">
        <v>104</v>
      </c>
      <c r="T36" s="46">
        <f>N36</f>
        <v>3074661.5300000003</v>
      </c>
      <c r="U36" s="46">
        <f>T36</f>
        <v>3074661.5300000003</v>
      </c>
    </row>
    <row r="37" spans="1:27">
      <c r="A37" s="449"/>
      <c r="B37" s="274"/>
      <c r="C37" s="293" t="s">
        <v>106</v>
      </c>
      <c r="D37" s="64"/>
      <c r="E37" s="122">
        <f>E32+E36</f>
        <v>88</v>
      </c>
      <c r="F37" s="122">
        <f>F32+F36</f>
        <v>68</v>
      </c>
      <c r="G37" s="122">
        <f>G32+G36</f>
        <v>81.333333333333329</v>
      </c>
      <c r="H37" s="60">
        <f>H32+H36</f>
        <v>107</v>
      </c>
      <c r="I37" s="60">
        <f>I32+I36</f>
        <v>107</v>
      </c>
      <c r="J37" s="73" t="s">
        <v>104</v>
      </c>
      <c r="K37" s="207" t="s">
        <v>104</v>
      </c>
      <c r="L37" s="207" t="s">
        <v>104</v>
      </c>
      <c r="M37" s="73" t="s">
        <v>104</v>
      </c>
      <c r="N37" s="103">
        <f>SUM(N32:N36)</f>
        <v>4607883.74</v>
      </c>
      <c r="O37" s="103">
        <f>SUM(O32:O36)</f>
        <v>3067728.9000000004</v>
      </c>
      <c r="P37" s="103">
        <f>SUM(P32:P36)</f>
        <v>325495.18666666665</v>
      </c>
      <c r="Q37" s="103"/>
      <c r="R37" s="103">
        <f>SUM(R32:R36)</f>
        <v>1214659.6533333333</v>
      </c>
      <c r="S37" s="185"/>
      <c r="T37" s="185">
        <f>SUM(T32:T36)</f>
        <v>4638747.5233333334</v>
      </c>
      <c r="U37" s="185">
        <f>SUM(U32:U36)</f>
        <v>4638747.5233333334</v>
      </c>
    </row>
    <row r="38" spans="1:27" ht="100.95" customHeight="1">
      <c r="A38" s="449"/>
      <c r="B38" s="137" t="s">
        <v>240</v>
      </c>
      <c r="C38" s="61" t="s">
        <v>187</v>
      </c>
      <c r="D38" s="64" t="s">
        <v>101</v>
      </c>
      <c r="E38" s="122">
        <v>863</v>
      </c>
      <c r="F38" s="122">
        <v>1055</v>
      </c>
      <c r="G38" s="123">
        <f>((E38*8)+(F38*4))/12</f>
        <v>927</v>
      </c>
      <c r="H38" s="60">
        <v>911</v>
      </c>
      <c r="I38" s="60">
        <v>911</v>
      </c>
      <c r="J38" s="75">
        <f>K38</f>
        <v>3978.73</v>
      </c>
      <c r="K38" s="46">
        <v>3978.73</v>
      </c>
      <c r="L38" s="207" t="s">
        <v>104</v>
      </c>
      <c r="M38" s="73" t="s">
        <v>104</v>
      </c>
      <c r="N38" s="73">
        <f>SUM(O38:R38)</f>
        <v>3688282.71</v>
      </c>
      <c r="O38" s="73">
        <f>J38*G38</f>
        <v>3688282.71</v>
      </c>
      <c r="P38" s="73" t="s">
        <v>104</v>
      </c>
      <c r="Q38" s="73"/>
      <c r="R38" s="73" t="s">
        <v>104</v>
      </c>
      <c r="S38" s="207"/>
      <c r="T38" s="46">
        <f>H38*J38</f>
        <v>3624623.03</v>
      </c>
      <c r="U38" s="46">
        <f>T38</f>
        <v>3624623.03</v>
      </c>
    </row>
    <row r="39" spans="1:27">
      <c r="A39" s="449"/>
      <c r="B39" s="69"/>
      <c r="C39" s="293" t="s">
        <v>106</v>
      </c>
      <c r="D39" s="69"/>
      <c r="E39" s="122">
        <f>SUM(E38:E38)</f>
        <v>863</v>
      </c>
      <c r="F39" s="122">
        <f>SUM(F38:F38)</f>
        <v>1055</v>
      </c>
      <c r="G39" s="123">
        <f>G38</f>
        <v>927</v>
      </c>
      <c r="H39" s="60">
        <f>SUM(H38:H38)</f>
        <v>911</v>
      </c>
      <c r="I39" s="60">
        <f>SUM(I38:I38)</f>
        <v>911</v>
      </c>
      <c r="J39" s="73" t="s">
        <v>104</v>
      </c>
      <c r="K39" s="207" t="s">
        <v>104</v>
      </c>
      <c r="L39" s="207" t="s">
        <v>104</v>
      </c>
      <c r="M39" s="74">
        <f t="shared" ref="M39:U39" si="8">SUM(M38:M38)</f>
        <v>0</v>
      </c>
      <c r="N39" s="103">
        <f t="shared" si="8"/>
        <v>3688282.71</v>
      </c>
      <c r="O39" s="74">
        <f t="shared" si="8"/>
        <v>3688282.71</v>
      </c>
      <c r="P39" s="74">
        <f t="shared" si="8"/>
        <v>0</v>
      </c>
      <c r="Q39" s="74"/>
      <c r="R39" s="74">
        <f t="shared" si="8"/>
        <v>0</v>
      </c>
      <c r="S39" s="185"/>
      <c r="T39" s="185">
        <f t="shared" si="8"/>
        <v>3624623.03</v>
      </c>
      <c r="U39" s="185">
        <f t="shared" si="8"/>
        <v>3624623.03</v>
      </c>
    </row>
    <row r="40" spans="1:27" ht="27" hidden="1" customHeight="1">
      <c r="A40" s="449"/>
      <c r="B40" s="193" t="s">
        <v>283</v>
      </c>
      <c r="C40" s="181" t="s">
        <v>226</v>
      </c>
      <c r="D40" s="69"/>
      <c r="E40" s="122"/>
      <c r="F40" s="122"/>
      <c r="G40" s="123"/>
      <c r="H40" s="60"/>
      <c r="I40" s="60"/>
      <c r="J40" s="73"/>
      <c r="K40" s="207"/>
      <c r="L40" s="207"/>
      <c r="M40" s="74"/>
      <c r="N40" s="74">
        <f>P40</f>
        <v>0</v>
      </c>
      <c r="O40" s="74"/>
      <c r="P40" s="74"/>
      <c r="Q40" s="74"/>
      <c r="R40" s="74"/>
      <c r="S40" s="185"/>
      <c r="T40" s="185">
        <f>P40</f>
        <v>0</v>
      </c>
      <c r="U40" s="185">
        <f>T40</f>
        <v>0</v>
      </c>
    </row>
    <row r="41" spans="1:27" ht="13.95" hidden="1" customHeight="1">
      <c r="A41" s="449"/>
      <c r="B41" s="89" t="s">
        <v>225</v>
      </c>
      <c r="C41" s="181" t="s">
        <v>219</v>
      </c>
      <c r="D41" s="64" t="s">
        <v>101</v>
      </c>
      <c r="E41" s="122">
        <v>17</v>
      </c>
      <c r="F41" s="122">
        <v>17</v>
      </c>
      <c r="G41" s="123">
        <v>17</v>
      </c>
      <c r="H41" s="60">
        <v>17</v>
      </c>
      <c r="I41" s="60">
        <v>17</v>
      </c>
      <c r="J41" s="73"/>
      <c r="K41" s="207"/>
      <c r="L41" s="207"/>
      <c r="M41" s="74"/>
      <c r="N41" s="74">
        <f>S41</f>
        <v>0</v>
      </c>
      <c r="O41" s="74"/>
      <c r="P41" s="74"/>
      <c r="Q41" s="74"/>
      <c r="R41" s="74"/>
      <c r="S41" s="185"/>
      <c r="T41" s="185">
        <f>S41</f>
        <v>0</v>
      </c>
      <c r="U41" s="185">
        <f>T41</f>
        <v>0</v>
      </c>
    </row>
    <row r="42" spans="1:27" ht="13.95" hidden="1" customHeight="1">
      <c r="A42" s="449"/>
      <c r="B42" s="89" t="s">
        <v>225</v>
      </c>
      <c r="C42" s="181" t="s">
        <v>226</v>
      </c>
      <c r="D42" s="64" t="s">
        <v>101</v>
      </c>
      <c r="E42" s="122"/>
      <c r="F42" s="122"/>
      <c r="G42" s="123"/>
      <c r="H42" s="60"/>
      <c r="I42" s="60"/>
      <c r="J42" s="73"/>
      <c r="K42" s="207"/>
      <c r="L42" s="207"/>
      <c r="M42" s="74"/>
      <c r="N42" s="74"/>
      <c r="O42" s="74"/>
      <c r="P42" s="74"/>
      <c r="Q42" s="74"/>
      <c r="R42" s="74"/>
      <c r="S42" s="185"/>
      <c r="T42" s="185">
        <f>Q42</f>
        <v>0</v>
      </c>
      <c r="U42" s="185">
        <f>T42</f>
        <v>0</v>
      </c>
    </row>
    <row r="43" spans="1:27" ht="13.95" hidden="1" customHeight="1">
      <c r="A43" s="449"/>
      <c r="B43" s="89" t="s">
        <v>282</v>
      </c>
      <c r="C43" s="181" t="s">
        <v>219</v>
      </c>
      <c r="D43" s="64" t="s">
        <v>101</v>
      </c>
      <c r="E43" s="122"/>
      <c r="F43" s="122"/>
      <c r="G43" s="123">
        <v>17</v>
      </c>
      <c r="H43" s="59">
        <v>17</v>
      </c>
      <c r="I43" s="59">
        <v>17</v>
      </c>
      <c r="J43" s="73"/>
      <c r="K43" s="207"/>
      <c r="L43" s="207"/>
      <c r="M43" s="74"/>
      <c r="N43" s="74">
        <f>S43</f>
        <v>0</v>
      </c>
      <c r="O43" s="74"/>
      <c r="P43" s="74"/>
      <c r="Q43" s="74"/>
      <c r="R43" s="74"/>
      <c r="S43" s="185"/>
      <c r="T43" s="185"/>
      <c r="U43" s="185"/>
    </row>
    <row r="44" spans="1:27">
      <c r="A44" s="449"/>
      <c r="B44" s="89" t="s">
        <v>289</v>
      </c>
      <c r="C44" s="181" t="s">
        <v>226</v>
      </c>
      <c r="D44" s="64"/>
      <c r="E44" s="122">
        <v>27</v>
      </c>
      <c r="F44" s="122">
        <v>27</v>
      </c>
      <c r="G44" s="123">
        <v>27</v>
      </c>
      <c r="H44" s="59">
        <v>27</v>
      </c>
      <c r="I44" s="59">
        <v>27</v>
      </c>
      <c r="J44" s="73"/>
      <c r="K44" s="207"/>
      <c r="L44" s="207"/>
      <c r="M44" s="74"/>
      <c r="N44" s="74">
        <f>O44</f>
        <v>3163860</v>
      </c>
      <c r="O44" s="74">
        <v>3163860</v>
      </c>
      <c r="P44" s="74"/>
      <c r="Q44" s="74"/>
      <c r="R44" s="74"/>
      <c r="S44" s="185"/>
      <c r="T44" s="185">
        <v>3163860</v>
      </c>
      <c r="U44" s="185">
        <f>T44</f>
        <v>3163860</v>
      </c>
    </row>
    <row r="45" spans="1:27" ht="13.95" hidden="1" customHeight="1">
      <c r="A45" s="449"/>
      <c r="B45" s="89" t="s">
        <v>257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O45</f>
        <v>0</v>
      </c>
      <c r="O45" s="74"/>
      <c r="P45" s="74"/>
      <c r="Q45" s="74"/>
      <c r="R45" s="74"/>
      <c r="S45" s="185"/>
      <c r="T45" s="185">
        <f>O45</f>
        <v>0</v>
      </c>
      <c r="U45" s="185">
        <f>T45</f>
        <v>0</v>
      </c>
    </row>
    <row r="46" spans="1:27" ht="13.95" hidden="1" customHeight="1">
      <c r="A46" s="449"/>
      <c r="B46" s="89" t="s">
        <v>290</v>
      </c>
      <c r="C46" s="181" t="s">
        <v>226</v>
      </c>
      <c r="D46" s="64"/>
      <c r="E46" s="122"/>
      <c r="F46" s="122"/>
      <c r="G46" s="123"/>
      <c r="H46" s="60"/>
      <c r="I46" s="60"/>
      <c r="J46" s="73"/>
      <c r="K46" s="207"/>
      <c r="L46" s="207"/>
      <c r="M46" s="74"/>
      <c r="N46" s="74">
        <f>P46</f>
        <v>0</v>
      </c>
      <c r="O46" s="74"/>
      <c r="P46" s="74"/>
      <c r="Q46" s="74"/>
      <c r="R46" s="74"/>
      <c r="S46" s="185"/>
      <c r="T46" s="185"/>
      <c r="U46" s="185">
        <f>T46</f>
        <v>0</v>
      </c>
    </row>
    <row r="47" spans="1:27">
      <c r="A47" s="449"/>
      <c r="B47" s="101" t="s">
        <v>112</v>
      </c>
      <c r="C47" s="101"/>
      <c r="D47" s="69"/>
      <c r="E47" s="214">
        <f>E23+E31+E37</f>
        <v>683</v>
      </c>
      <c r="F47" s="219">
        <f>F23+F31+F37</f>
        <v>695</v>
      </c>
      <c r="G47" s="214">
        <f>G23+G31+G37</f>
        <v>687</v>
      </c>
      <c r="H47" s="102">
        <f>H23+H31+H37</f>
        <v>703</v>
      </c>
      <c r="I47" s="102">
        <f>I23+I31+I37</f>
        <v>703</v>
      </c>
      <c r="J47" s="104"/>
      <c r="K47" s="221"/>
      <c r="L47" s="138"/>
      <c r="M47" s="103"/>
      <c r="N47" s="103">
        <f>SUM(O47:S47)+0.01</f>
        <v>45668510.076666661</v>
      </c>
      <c r="O47" s="103">
        <f>O23+O31+O37+O39+O44+O45</f>
        <v>32960947.556666665</v>
      </c>
      <c r="P47" s="103">
        <f>P23+P31+P37+P39+P40+P41+P42+P46</f>
        <v>2749367.1299999994</v>
      </c>
      <c r="Q47" s="103">
        <f>Q23+Q31+Q37+Q39+Q40+Q41+Q42</f>
        <v>0</v>
      </c>
      <c r="R47" s="103">
        <f>R23+R31+R37+R39+R40+R41+R42+R43</f>
        <v>9958195.379999999</v>
      </c>
      <c r="S47" s="138">
        <f>S23+S31+S37+S39+S40+S41+S42+S43</f>
        <v>0</v>
      </c>
      <c r="T47" s="138">
        <f>T23+T31+T37+T39+T40+T41+T42+T43+T44+T45+T46+0.01</f>
        <v>45235749.696666665</v>
      </c>
      <c r="U47" s="138">
        <f>U23+U31+U37+U39+U40+U41+U42+U43+U44+U45+U46+0.01</f>
        <v>45235749.696666665</v>
      </c>
      <c r="V47" s="182">
        <v>10041727.25</v>
      </c>
      <c r="W47" s="192">
        <f>V47-R47</f>
        <v>83531.870000001043</v>
      </c>
      <c r="X47" s="182">
        <f>W47/G47</f>
        <v>121.58933042212671</v>
      </c>
      <c r="AA47" s="192"/>
    </row>
    <row r="48" spans="1:27" ht="82.95" customHeight="1">
      <c r="A48" s="458" t="s">
        <v>113</v>
      </c>
      <c r="B48" s="450" t="s">
        <v>237</v>
      </c>
      <c r="C48" s="61" t="s">
        <v>100</v>
      </c>
      <c r="D48" s="62" t="s">
        <v>101</v>
      </c>
      <c r="E48" s="123">
        <v>256</v>
      </c>
      <c r="F48" s="123">
        <v>245</v>
      </c>
      <c r="G48" s="123">
        <f>((E48*8)+(F48*4))/12</f>
        <v>252.33333333333334</v>
      </c>
      <c r="H48" s="59">
        <v>256</v>
      </c>
      <c r="I48" s="59">
        <v>256</v>
      </c>
      <c r="J48" s="107">
        <f>SUM(K48:M48)</f>
        <v>42926.31</v>
      </c>
      <c r="K48" s="220">
        <f>23258.45+1351.63</f>
        <v>24610.080000000002</v>
      </c>
      <c r="L48" s="211">
        <f>4001.99</f>
        <v>4001.99</v>
      </c>
      <c r="M48" s="70">
        <v>14314.24</v>
      </c>
      <c r="N48" s="71">
        <f>SUM(O48:R48)</f>
        <v>10831739.27</v>
      </c>
      <c r="O48" s="71">
        <f>G48*K48</f>
        <v>6209943.5200000005</v>
      </c>
      <c r="P48" s="71">
        <f>G48*L48</f>
        <v>1009835.4766666667</v>
      </c>
      <c r="Q48" s="71"/>
      <c r="R48" s="75">
        <f>G48*M48+0.38</f>
        <v>3611960.2733333334</v>
      </c>
      <c r="S48" s="46"/>
      <c r="T48" s="46">
        <f>N48</f>
        <v>10831739.27</v>
      </c>
      <c r="U48" s="46">
        <f>T48</f>
        <v>10831739.27</v>
      </c>
    </row>
    <row r="49" spans="1:21" ht="82.8">
      <c r="A49" s="458"/>
      <c r="B49" s="450"/>
      <c r="C49" s="63" t="s">
        <v>163</v>
      </c>
      <c r="D49" s="64" t="s">
        <v>101</v>
      </c>
      <c r="E49" s="123" t="s">
        <v>104</v>
      </c>
      <c r="F49" s="123" t="s">
        <v>104</v>
      </c>
      <c r="G49" s="123" t="s">
        <v>104</v>
      </c>
      <c r="H49" s="59" t="s">
        <v>104</v>
      </c>
      <c r="I49" s="59" t="s">
        <v>104</v>
      </c>
      <c r="J49" s="59" t="s">
        <v>104</v>
      </c>
      <c r="K49" s="123" t="s">
        <v>104</v>
      </c>
      <c r="L49" s="123" t="s">
        <v>104</v>
      </c>
      <c r="M49" s="59" t="s">
        <v>104</v>
      </c>
      <c r="N49" s="71"/>
      <c r="O49" s="71"/>
      <c r="P49" s="59" t="s">
        <v>104</v>
      </c>
      <c r="Q49" s="59"/>
      <c r="R49" s="59" t="s">
        <v>104</v>
      </c>
      <c r="S49" s="123"/>
      <c r="T49" s="46"/>
      <c r="U49" s="46"/>
    </row>
    <row r="50" spans="1:21">
      <c r="A50" s="458"/>
      <c r="B50" s="450"/>
      <c r="C50" s="63" t="s">
        <v>169</v>
      </c>
      <c r="D50" s="64" t="s">
        <v>101</v>
      </c>
      <c r="E50" s="123">
        <v>7</v>
      </c>
      <c r="F50" s="123">
        <v>10</v>
      </c>
      <c r="G50" s="123">
        <f>((E50*8)+(F50*4))/12</f>
        <v>8</v>
      </c>
      <c r="H50" s="59">
        <v>7</v>
      </c>
      <c r="I50" s="59">
        <v>7</v>
      </c>
      <c r="J50" s="75">
        <f t="shared" ref="J50:J56" si="9">K50</f>
        <v>69482.740000000005</v>
      </c>
      <c r="K50" s="205">
        <v>69482.740000000005</v>
      </c>
      <c r="L50" s="123" t="s">
        <v>104</v>
      </c>
      <c r="M50" s="59" t="s">
        <v>104</v>
      </c>
      <c r="N50" s="71">
        <f t="shared" ref="N50:N56" si="10">O50</f>
        <v>555861.92000000004</v>
      </c>
      <c r="O50" s="71">
        <f>G50*K50</f>
        <v>555861.92000000004</v>
      </c>
      <c r="P50" s="59" t="s">
        <v>104</v>
      </c>
      <c r="Q50" s="59"/>
      <c r="R50" s="59" t="s">
        <v>104</v>
      </c>
      <c r="S50" s="123"/>
      <c r="T50" s="46">
        <f t="shared" ref="T50:T56" si="11">H50*K50</f>
        <v>486379.18000000005</v>
      </c>
      <c r="U50" s="46">
        <f t="shared" ref="U50:U56" si="12">I50*K50</f>
        <v>486379.18000000005</v>
      </c>
    </row>
    <row r="51" spans="1:21">
      <c r="A51" s="458"/>
      <c r="B51" s="450"/>
      <c r="C51" s="63" t="s">
        <v>165</v>
      </c>
      <c r="D51" s="64" t="s">
        <v>101</v>
      </c>
      <c r="E51" s="123"/>
      <c r="F51" s="123">
        <v>1</v>
      </c>
      <c r="G51" s="123">
        <f>((E51*8)+(F51*4))/12</f>
        <v>0.33333333333333331</v>
      </c>
      <c r="H51" s="59"/>
      <c r="I51" s="59"/>
      <c r="J51" s="75">
        <f t="shared" si="9"/>
        <v>92591.35</v>
      </c>
      <c r="K51" s="205">
        <v>92591.35</v>
      </c>
      <c r="L51" s="123" t="s">
        <v>104</v>
      </c>
      <c r="M51" s="59" t="s">
        <v>104</v>
      </c>
      <c r="N51" s="71">
        <f t="shared" si="10"/>
        <v>30863.783333333333</v>
      </c>
      <c r="O51" s="71">
        <f>G51*K51</f>
        <v>30863.783333333333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58"/>
      <c r="B52" s="450"/>
      <c r="C52" s="63" t="s">
        <v>166</v>
      </c>
      <c r="D52" s="64" t="s">
        <v>101</v>
      </c>
      <c r="E52" s="123">
        <v>15</v>
      </c>
      <c r="F52" s="123">
        <v>15</v>
      </c>
      <c r="G52" s="123">
        <f t="shared" ref="G52:G70" si="13">((E52*8)+(F52*4))/12</f>
        <v>15</v>
      </c>
      <c r="H52" s="59">
        <v>15</v>
      </c>
      <c r="I52" s="59">
        <v>15</v>
      </c>
      <c r="J52" s="75">
        <f t="shared" si="9"/>
        <v>66481.399999999994</v>
      </c>
      <c r="K52" s="46">
        <v>66481.399999999994</v>
      </c>
      <c r="L52" s="123" t="s">
        <v>104</v>
      </c>
      <c r="M52" s="59" t="s">
        <v>104</v>
      </c>
      <c r="N52" s="71">
        <f>O52</f>
        <v>997220.99999999988</v>
      </c>
      <c r="O52" s="71">
        <f t="shared" ref="O52:O56" si="14">G52*K52</f>
        <v>997220.99999999988</v>
      </c>
      <c r="P52" s="59" t="s">
        <v>104</v>
      </c>
      <c r="Q52" s="59"/>
      <c r="R52" s="59" t="s">
        <v>104</v>
      </c>
      <c r="S52" s="123"/>
      <c r="T52" s="46">
        <f t="shared" si="11"/>
        <v>997220.99999999988</v>
      </c>
      <c r="U52" s="46">
        <f t="shared" si="12"/>
        <v>997220.99999999988</v>
      </c>
    </row>
    <row r="53" spans="1:21">
      <c r="A53" s="458"/>
      <c r="B53" s="450"/>
      <c r="C53" s="63" t="s">
        <v>167</v>
      </c>
      <c r="D53" s="64" t="s">
        <v>101</v>
      </c>
      <c r="E53" s="123"/>
      <c r="F53" s="123"/>
      <c r="G53" s="123">
        <f t="shared" si="13"/>
        <v>0</v>
      </c>
      <c r="H53" s="59"/>
      <c r="I53" s="59"/>
      <c r="J53" s="75">
        <f t="shared" si="9"/>
        <v>174992.98</v>
      </c>
      <c r="K53" s="46">
        <v>174992.98</v>
      </c>
      <c r="L53" s="123" t="s">
        <v>104</v>
      </c>
      <c r="M53" s="59" t="s">
        <v>104</v>
      </c>
      <c r="N53" s="71">
        <f t="shared" si="10"/>
        <v>0</v>
      </c>
      <c r="O53" s="71">
        <f t="shared" si="14"/>
        <v>0</v>
      </c>
      <c r="P53" s="59" t="s">
        <v>104</v>
      </c>
      <c r="Q53" s="59"/>
      <c r="R53" s="59" t="s">
        <v>104</v>
      </c>
      <c r="S53" s="123"/>
      <c r="T53" s="46">
        <f t="shared" si="11"/>
        <v>0</v>
      </c>
      <c r="U53" s="46">
        <f t="shared" si="12"/>
        <v>0</v>
      </c>
    </row>
    <row r="54" spans="1:21">
      <c r="A54" s="458"/>
      <c r="B54" s="450"/>
      <c r="C54" s="63" t="s">
        <v>170</v>
      </c>
      <c r="D54" s="64" t="s">
        <v>101</v>
      </c>
      <c r="E54" s="123">
        <v>2</v>
      </c>
      <c r="F54" s="123">
        <v>2</v>
      </c>
      <c r="G54" s="123">
        <f t="shared" si="13"/>
        <v>2</v>
      </c>
      <c r="H54" s="59">
        <v>2</v>
      </c>
      <c r="I54" s="59">
        <v>2</v>
      </c>
      <c r="J54" s="75">
        <f t="shared" si="9"/>
        <v>99770.92</v>
      </c>
      <c r="K54" s="46">
        <v>99770.92</v>
      </c>
      <c r="L54" s="123" t="s">
        <v>104</v>
      </c>
      <c r="M54" s="59" t="s">
        <v>104</v>
      </c>
      <c r="N54" s="71">
        <f t="shared" si="10"/>
        <v>199541.84</v>
      </c>
      <c r="O54" s="71">
        <f t="shared" si="14"/>
        <v>199541.84</v>
      </c>
      <c r="P54" s="59" t="s">
        <v>104</v>
      </c>
      <c r="Q54" s="59"/>
      <c r="R54" s="59" t="s">
        <v>104</v>
      </c>
      <c r="S54" s="123"/>
      <c r="T54" s="46">
        <f t="shared" si="11"/>
        <v>199541.84</v>
      </c>
      <c r="U54" s="46">
        <f t="shared" si="12"/>
        <v>199541.84</v>
      </c>
    </row>
    <row r="55" spans="1:21">
      <c r="A55" s="458"/>
      <c r="B55" s="450"/>
      <c r="C55" s="63" t="s">
        <v>317</v>
      </c>
      <c r="D55" s="64" t="s">
        <v>101</v>
      </c>
      <c r="E55" s="123">
        <v>5</v>
      </c>
      <c r="F55" s="123">
        <v>8</v>
      </c>
      <c r="G55" s="123">
        <f t="shared" si="13"/>
        <v>6</v>
      </c>
      <c r="H55" s="59">
        <v>5</v>
      </c>
      <c r="I55" s="59">
        <v>5</v>
      </c>
      <c r="J55" s="75">
        <f t="shared" si="9"/>
        <v>297678.93</v>
      </c>
      <c r="K55" s="46">
        <v>297678.93</v>
      </c>
      <c r="L55" s="123" t="s">
        <v>104</v>
      </c>
      <c r="M55" s="59" t="s">
        <v>104</v>
      </c>
      <c r="N55" s="71">
        <f t="shared" si="10"/>
        <v>1786073.58</v>
      </c>
      <c r="O55" s="71">
        <f t="shared" si="14"/>
        <v>1786073.58</v>
      </c>
      <c r="P55" s="59"/>
      <c r="Q55" s="59"/>
      <c r="R55" s="59"/>
      <c r="S55" s="123"/>
      <c r="T55" s="46">
        <f t="shared" si="11"/>
        <v>1488394.65</v>
      </c>
      <c r="U55" s="46">
        <f t="shared" si="12"/>
        <v>1488394.65</v>
      </c>
    </row>
    <row r="56" spans="1:21">
      <c r="A56" s="458"/>
      <c r="B56" s="450"/>
      <c r="C56" s="63" t="s">
        <v>168</v>
      </c>
      <c r="D56" s="64" t="s">
        <v>101</v>
      </c>
      <c r="E56" s="123"/>
      <c r="F56" s="123"/>
      <c r="G56" s="123"/>
      <c r="H56" s="59"/>
      <c r="I56" s="59"/>
      <c r="J56" s="75">
        <f t="shared" si="9"/>
        <v>23678.79</v>
      </c>
      <c r="K56" s="46">
        <v>23678.79</v>
      </c>
      <c r="L56" s="123" t="s">
        <v>104</v>
      </c>
      <c r="M56" s="59" t="s">
        <v>104</v>
      </c>
      <c r="N56" s="71">
        <f t="shared" si="10"/>
        <v>0</v>
      </c>
      <c r="O56" s="71">
        <f t="shared" si="14"/>
        <v>0</v>
      </c>
      <c r="P56" s="59" t="s">
        <v>104</v>
      </c>
      <c r="Q56" s="59"/>
      <c r="R56" s="59" t="s">
        <v>104</v>
      </c>
      <c r="S56" s="123"/>
      <c r="T56" s="46">
        <f t="shared" si="11"/>
        <v>0</v>
      </c>
      <c r="U56" s="46">
        <f t="shared" si="12"/>
        <v>0</v>
      </c>
    </row>
    <row r="57" spans="1:21" ht="82.8">
      <c r="A57" s="458"/>
      <c r="B57" s="450"/>
      <c r="C57" s="61" t="s">
        <v>105</v>
      </c>
      <c r="D57" s="64" t="s">
        <v>101</v>
      </c>
      <c r="E57" s="123">
        <v>1</v>
      </c>
      <c r="F57" s="123">
        <v>1</v>
      </c>
      <c r="G57" s="123">
        <f t="shared" si="13"/>
        <v>1</v>
      </c>
      <c r="H57" s="59">
        <v>1</v>
      </c>
      <c r="I57" s="59">
        <v>1</v>
      </c>
      <c r="J57" s="75">
        <f>SUM(K57:M57)</f>
        <v>141179.59</v>
      </c>
      <c r="K57" s="46">
        <f>121511.73+1351.63</f>
        <v>122863.36</v>
      </c>
      <c r="L57" s="211">
        <f>4001.99</f>
        <v>4001.99</v>
      </c>
      <c r="M57" s="70">
        <v>14314.24</v>
      </c>
      <c r="N57" s="71">
        <f>SUM(O57:R57)</f>
        <v>141179.59</v>
      </c>
      <c r="O57" s="71">
        <f>G57*K57</f>
        <v>122863.36</v>
      </c>
      <c r="P57" s="71">
        <f>G57*L57</f>
        <v>4001.99</v>
      </c>
      <c r="Q57" s="71"/>
      <c r="R57" s="75">
        <f>G57*M57</f>
        <v>14314.24</v>
      </c>
      <c r="S57" s="46"/>
      <c r="T57" s="46">
        <f>H57*J57</f>
        <v>141179.59</v>
      </c>
      <c r="U57" s="46">
        <f>T57</f>
        <v>141179.59</v>
      </c>
    </row>
    <row r="58" spans="1:21">
      <c r="A58" s="458"/>
      <c r="B58" s="450"/>
      <c r="C58" s="293" t="s">
        <v>106</v>
      </c>
      <c r="D58" s="67"/>
      <c r="E58" s="123">
        <f>E48+E57</f>
        <v>257</v>
      </c>
      <c r="F58" s="123">
        <f>F48+F57</f>
        <v>246</v>
      </c>
      <c r="G58" s="123">
        <f>G48+G57</f>
        <v>253.33333333333334</v>
      </c>
      <c r="H58" s="59">
        <f>H48+H57</f>
        <v>257</v>
      </c>
      <c r="I58" s="59">
        <f>I48+I57</f>
        <v>257</v>
      </c>
      <c r="J58" s="71" t="s">
        <v>104</v>
      </c>
      <c r="K58" s="205" t="s">
        <v>104</v>
      </c>
      <c r="L58" s="205" t="s">
        <v>104</v>
      </c>
      <c r="M58" s="71" t="s">
        <v>104</v>
      </c>
      <c r="N58" s="118">
        <f>SUM(N48:N57)</f>
        <v>14542480.983333332</v>
      </c>
      <c r="O58" s="71">
        <f>SUM(O48:O57)</f>
        <v>9902369.0033333339</v>
      </c>
      <c r="P58" s="71">
        <f>SUM(P48:P57)</f>
        <v>1013837.4666666667</v>
      </c>
      <c r="Q58" s="71"/>
      <c r="R58" s="118">
        <f>SUM(R48:R57)</f>
        <v>3626274.5133333337</v>
      </c>
      <c r="S58" s="205"/>
      <c r="T58" s="46">
        <f>SUM(T48:T57)</f>
        <v>14144455.529999999</v>
      </c>
      <c r="U58" s="46">
        <f>SUM(U48:U57)</f>
        <v>14144455.529999999</v>
      </c>
    </row>
    <row r="59" spans="1:21" ht="82.95" customHeight="1">
      <c r="A59" s="458"/>
      <c r="B59" s="450" t="s">
        <v>238</v>
      </c>
      <c r="C59" s="61" t="s">
        <v>100</v>
      </c>
      <c r="D59" s="62" t="s">
        <v>101</v>
      </c>
      <c r="E59" s="123">
        <v>206</v>
      </c>
      <c r="F59" s="123">
        <v>243</v>
      </c>
      <c r="G59" s="123">
        <f t="shared" si="13"/>
        <v>218.33333333333334</v>
      </c>
      <c r="H59" s="59">
        <v>206</v>
      </c>
      <c r="I59" s="59">
        <v>206</v>
      </c>
      <c r="J59" s="107">
        <f>SUM(K59:M59)</f>
        <v>54702.01</v>
      </c>
      <c r="K59" s="220">
        <f>34483.05+1649.65</f>
        <v>36132.700000000004</v>
      </c>
      <c r="L59" s="211">
        <f>4001.99</f>
        <v>4001.99</v>
      </c>
      <c r="M59" s="70">
        <v>14567.32</v>
      </c>
      <c r="N59" s="71">
        <f>SUM(O59:R59)</f>
        <v>11943272.183333335</v>
      </c>
      <c r="O59" s="71">
        <f>G59*K59</f>
        <v>7888972.8333333349</v>
      </c>
      <c r="P59" s="71">
        <f>G59*L59</f>
        <v>873767.81666666665</v>
      </c>
      <c r="Q59" s="71"/>
      <c r="R59" s="75">
        <f>G59*M59</f>
        <v>3180531.5333333332</v>
      </c>
      <c r="S59" s="46"/>
      <c r="T59" s="46">
        <f>H59*J59</f>
        <v>11268614.060000001</v>
      </c>
      <c r="U59" s="46">
        <f>T59</f>
        <v>11268614.060000001</v>
      </c>
    </row>
    <row r="60" spans="1:21" ht="82.8">
      <c r="A60" s="458"/>
      <c r="B60" s="450"/>
      <c r="C60" s="63" t="s">
        <v>102</v>
      </c>
      <c r="D60" s="64" t="s">
        <v>101</v>
      </c>
      <c r="E60" s="123" t="s">
        <v>104</v>
      </c>
      <c r="F60" s="123" t="s">
        <v>104</v>
      </c>
      <c r="G60" s="123" t="s">
        <v>104</v>
      </c>
      <c r="H60" s="59" t="s">
        <v>104</v>
      </c>
      <c r="I60" s="59" t="s">
        <v>104</v>
      </c>
      <c r="J60" s="59" t="s">
        <v>104</v>
      </c>
      <c r="K60" s="123" t="s">
        <v>191</v>
      </c>
      <c r="L60" s="123" t="s">
        <v>104</v>
      </c>
      <c r="M60" s="59" t="s">
        <v>104</v>
      </c>
      <c r="N60" s="71"/>
      <c r="O60" s="71"/>
      <c r="P60" s="59" t="s">
        <v>104</v>
      </c>
      <c r="Q60" s="59"/>
      <c r="R60" s="59" t="s">
        <v>104</v>
      </c>
      <c r="S60" s="123"/>
      <c r="T60" s="46"/>
      <c r="U60" s="46"/>
    </row>
    <row r="61" spans="1:21">
      <c r="A61" s="458"/>
      <c r="B61" s="450"/>
      <c r="C61" s="63" t="s">
        <v>165</v>
      </c>
      <c r="D61" s="64" t="s">
        <v>101</v>
      </c>
      <c r="E61" s="123">
        <v>1</v>
      </c>
      <c r="F61" s="123">
        <v>2</v>
      </c>
      <c r="G61" s="123">
        <f t="shared" si="13"/>
        <v>1.3333333333333333</v>
      </c>
      <c r="H61" s="59">
        <v>1</v>
      </c>
      <c r="I61" s="59">
        <v>1</v>
      </c>
      <c r="J61" s="75">
        <f>K61</f>
        <v>92591.35</v>
      </c>
      <c r="K61" s="205">
        <v>92591.35</v>
      </c>
      <c r="L61" s="123" t="s">
        <v>104</v>
      </c>
      <c r="M61" s="59" t="s">
        <v>104</v>
      </c>
      <c r="N61" s="71">
        <f>O61</f>
        <v>123455.13333333333</v>
      </c>
      <c r="O61" s="71">
        <f>G61*K61</f>
        <v>123455.13333333333</v>
      </c>
      <c r="P61" s="59"/>
      <c r="Q61" s="59"/>
      <c r="R61" s="59"/>
      <c r="S61" s="123"/>
      <c r="T61" s="46">
        <f>H61*K61</f>
        <v>92591.35</v>
      </c>
      <c r="U61" s="46">
        <f>I61*K61</f>
        <v>92591.35</v>
      </c>
    </row>
    <row r="62" spans="1:21">
      <c r="A62" s="458"/>
      <c r="B62" s="450"/>
      <c r="C62" s="63" t="s">
        <v>167</v>
      </c>
      <c r="D62" s="64" t="s">
        <v>101</v>
      </c>
      <c r="E62" s="123">
        <v>2</v>
      </c>
      <c r="F62" s="123">
        <v>3</v>
      </c>
      <c r="G62" s="123">
        <f t="shared" si="13"/>
        <v>2.3333333333333335</v>
      </c>
      <c r="H62" s="59">
        <v>2</v>
      </c>
      <c r="I62" s="59">
        <v>2</v>
      </c>
      <c r="J62" s="75">
        <f>K62</f>
        <v>264803.59999999998</v>
      </c>
      <c r="K62" s="205">
        <v>264803.59999999998</v>
      </c>
      <c r="L62" s="123" t="s">
        <v>104</v>
      </c>
      <c r="M62" s="59" t="s">
        <v>104</v>
      </c>
      <c r="N62" s="71">
        <f>O62</f>
        <v>617875.06666666665</v>
      </c>
      <c r="O62" s="71">
        <f t="shared" ref="O62:O65" si="15">G62*K62</f>
        <v>617875.06666666665</v>
      </c>
      <c r="P62" s="59"/>
      <c r="Q62" s="59"/>
      <c r="R62" s="59"/>
      <c r="S62" s="123"/>
      <c r="T62" s="46">
        <f>H62*K62</f>
        <v>529607.19999999995</v>
      </c>
      <c r="U62" s="46">
        <f>I62*K62</f>
        <v>529607.19999999995</v>
      </c>
    </row>
    <row r="63" spans="1:21">
      <c r="A63" s="458"/>
      <c r="B63" s="450"/>
      <c r="C63" s="63" t="s">
        <v>190</v>
      </c>
      <c r="D63" s="64" t="s">
        <v>101</v>
      </c>
      <c r="E63" s="122"/>
      <c r="F63" s="122"/>
      <c r="G63" s="123">
        <f t="shared" si="13"/>
        <v>0</v>
      </c>
      <c r="H63" s="60"/>
      <c r="I63" s="60"/>
      <c r="J63" s="75">
        <f>K63</f>
        <v>165608.53</v>
      </c>
      <c r="K63" s="46">
        <v>165608.53</v>
      </c>
      <c r="L63" s="123" t="s">
        <v>104</v>
      </c>
      <c r="M63" s="59" t="s">
        <v>104</v>
      </c>
      <c r="N63" s="71">
        <f>O63</f>
        <v>0</v>
      </c>
      <c r="O63" s="71">
        <f t="shared" si="15"/>
        <v>0</v>
      </c>
      <c r="P63" s="59" t="s">
        <v>104</v>
      </c>
      <c r="Q63" s="59"/>
      <c r="R63" s="59" t="s">
        <v>104</v>
      </c>
      <c r="S63" s="123"/>
      <c r="T63" s="46">
        <f>H63*K63</f>
        <v>0</v>
      </c>
      <c r="U63" s="46">
        <f>I63*K63</f>
        <v>0</v>
      </c>
    </row>
    <row r="64" spans="1:21">
      <c r="A64" s="458"/>
      <c r="B64" s="450"/>
      <c r="C64" s="63" t="s">
        <v>170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K64</f>
        <v>32894.53</v>
      </c>
      <c r="K64" s="46">
        <v>32894.53</v>
      </c>
      <c r="L64" s="123" t="s">
        <v>104</v>
      </c>
      <c r="M64" s="59" t="s">
        <v>104</v>
      </c>
      <c r="N64" s="71">
        <f>O64</f>
        <v>32894.53</v>
      </c>
      <c r="O64" s="71">
        <f t="shared" si="15"/>
        <v>32894.53</v>
      </c>
      <c r="P64" s="59" t="s">
        <v>104</v>
      </c>
      <c r="Q64" s="59"/>
      <c r="R64" s="59" t="s">
        <v>104</v>
      </c>
      <c r="S64" s="123"/>
      <c r="T64" s="46">
        <f>H64*K64</f>
        <v>32894.53</v>
      </c>
      <c r="U64" s="46">
        <f>I64*K64</f>
        <v>32894.53</v>
      </c>
    </row>
    <row r="65" spans="1:23">
      <c r="A65" s="458"/>
      <c r="B65" s="450"/>
      <c r="C65" s="63" t="s">
        <v>168</v>
      </c>
      <c r="D65" s="64" t="s">
        <v>101</v>
      </c>
      <c r="E65" s="122">
        <v>2</v>
      </c>
      <c r="F65" s="122">
        <v>2</v>
      </c>
      <c r="G65" s="123">
        <f t="shared" si="13"/>
        <v>2</v>
      </c>
      <c r="H65" s="60">
        <v>2</v>
      </c>
      <c r="I65" s="60">
        <v>2</v>
      </c>
      <c r="J65" s="75">
        <f>K65</f>
        <v>23678.79</v>
      </c>
      <c r="K65" s="46">
        <v>23678.79</v>
      </c>
      <c r="L65" s="123" t="s">
        <v>104</v>
      </c>
      <c r="M65" s="59" t="s">
        <v>104</v>
      </c>
      <c r="N65" s="71">
        <f>O65</f>
        <v>47357.58</v>
      </c>
      <c r="O65" s="71">
        <f t="shared" si="15"/>
        <v>47357.58</v>
      </c>
      <c r="P65" s="59" t="s">
        <v>104</v>
      </c>
      <c r="Q65" s="59"/>
      <c r="R65" s="59" t="s">
        <v>104</v>
      </c>
      <c r="S65" s="123"/>
      <c r="T65" s="46">
        <f>H65*K65</f>
        <v>47357.58</v>
      </c>
      <c r="U65" s="46">
        <f>I65*K65</f>
        <v>47357.58</v>
      </c>
    </row>
    <row r="66" spans="1:23" ht="82.8">
      <c r="A66" s="458"/>
      <c r="B66" s="450"/>
      <c r="C66" s="61" t="s">
        <v>105</v>
      </c>
      <c r="D66" s="64" t="s">
        <v>101</v>
      </c>
      <c r="E66" s="122">
        <v>1</v>
      </c>
      <c r="F66" s="122">
        <v>1</v>
      </c>
      <c r="G66" s="123">
        <f t="shared" si="13"/>
        <v>1</v>
      </c>
      <c r="H66" s="60">
        <v>1</v>
      </c>
      <c r="I66" s="60">
        <v>1</v>
      </c>
      <c r="J66" s="75">
        <f>SUM(K66:M66)</f>
        <v>171714.25</v>
      </c>
      <c r="K66" s="46">
        <f>151495.29+1649.65</f>
        <v>153144.94</v>
      </c>
      <c r="L66" s="211">
        <f>4001.99</f>
        <v>4001.99</v>
      </c>
      <c r="M66" s="70">
        <v>14567.32</v>
      </c>
      <c r="N66" s="71">
        <f>SUM(O66:R66)</f>
        <v>171714.25</v>
      </c>
      <c r="O66" s="71">
        <f>G66*K66</f>
        <v>153144.94</v>
      </c>
      <c r="P66" s="73">
        <f>G66*L66</f>
        <v>4001.99</v>
      </c>
      <c r="Q66" s="73"/>
      <c r="R66" s="75">
        <f>G66*M66</f>
        <v>14567.32</v>
      </c>
      <c r="S66" s="46"/>
      <c r="T66" s="46">
        <f>H66*J66</f>
        <v>171714.25</v>
      </c>
      <c r="U66" s="46">
        <f>T66</f>
        <v>171714.25</v>
      </c>
    </row>
    <row r="67" spans="1:23">
      <c r="A67" s="458"/>
      <c r="B67" s="274"/>
      <c r="C67" s="293" t="s">
        <v>106</v>
      </c>
      <c r="D67" s="64"/>
      <c r="E67" s="122">
        <f>E59+E66</f>
        <v>207</v>
      </c>
      <c r="F67" s="122">
        <f>F59+F66</f>
        <v>244</v>
      </c>
      <c r="G67" s="122">
        <f>G59+G66</f>
        <v>219.33333333333334</v>
      </c>
      <c r="H67" s="60">
        <f>H59+H66</f>
        <v>207</v>
      </c>
      <c r="I67" s="60">
        <f>I59+I66</f>
        <v>207</v>
      </c>
      <c r="J67" s="73" t="s">
        <v>104</v>
      </c>
      <c r="K67" s="207" t="s">
        <v>104</v>
      </c>
      <c r="L67" s="185" t="s">
        <v>104</v>
      </c>
      <c r="M67" s="74" t="s">
        <v>104</v>
      </c>
      <c r="N67" s="103">
        <f t="shared" ref="N67:U67" si="16">SUM(N59:N66)</f>
        <v>12936568.743333334</v>
      </c>
      <c r="O67" s="74">
        <f t="shared" si="16"/>
        <v>8863700.083333334</v>
      </c>
      <c r="P67" s="74">
        <f t="shared" si="16"/>
        <v>877769.80666666664</v>
      </c>
      <c r="Q67" s="74"/>
      <c r="R67" s="103">
        <f t="shared" si="16"/>
        <v>3195098.853333333</v>
      </c>
      <c r="S67" s="185"/>
      <c r="T67" s="46">
        <f t="shared" si="16"/>
        <v>12142778.969999999</v>
      </c>
      <c r="U67" s="46">
        <f t="shared" si="16"/>
        <v>12142778.969999999</v>
      </c>
    </row>
    <row r="68" spans="1:23" ht="82.95" customHeight="1">
      <c r="A68" s="458"/>
      <c r="B68" s="450" t="s">
        <v>239</v>
      </c>
      <c r="C68" s="61" t="s">
        <v>100</v>
      </c>
      <c r="D68" s="62" t="s">
        <v>101</v>
      </c>
      <c r="E68" s="122">
        <v>46</v>
      </c>
      <c r="F68" s="122">
        <v>32</v>
      </c>
      <c r="G68" s="123">
        <f t="shared" si="13"/>
        <v>41.333333333333336</v>
      </c>
      <c r="H68" s="60">
        <v>46</v>
      </c>
      <c r="I68" s="60">
        <v>46</v>
      </c>
      <c r="J68" s="107">
        <f>SUM(K68:M68)</f>
        <v>62175.83</v>
      </c>
      <c r="K68" s="220">
        <f>41240.72+1998.78</f>
        <v>43239.5</v>
      </c>
      <c r="L68" s="211">
        <f>4001.99</f>
        <v>4001.99</v>
      </c>
      <c r="M68" s="70">
        <v>14934.34</v>
      </c>
      <c r="N68" s="73">
        <f>SUM(O68:R68)</f>
        <v>2569934.3066666666</v>
      </c>
      <c r="O68" s="73">
        <f>G68*K68</f>
        <v>1787232.6666666667</v>
      </c>
      <c r="P68" s="73">
        <f>G68*L68</f>
        <v>165415.58666666667</v>
      </c>
      <c r="Q68" s="73"/>
      <c r="R68" s="75">
        <f>G68*M68</f>
        <v>617286.05333333334</v>
      </c>
      <c r="S68" s="46"/>
      <c r="T68" s="46">
        <f>N68</f>
        <v>2569934.3066666666</v>
      </c>
      <c r="U68" s="46">
        <f>T68</f>
        <v>2569934.3066666666</v>
      </c>
    </row>
    <row r="69" spans="1:23" ht="82.8">
      <c r="A69" s="458"/>
      <c r="B69" s="450"/>
      <c r="C69" s="63" t="s">
        <v>102</v>
      </c>
      <c r="D69" s="64" t="s">
        <v>101</v>
      </c>
      <c r="E69" s="123" t="s">
        <v>104</v>
      </c>
      <c r="F69" s="123" t="s">
        <v>104</v>
      </c>
      <c r="G69" s="123" t="s">
        <v>104</v>
      </c>
      <c r="H69" s="59" t="s">
        <v>104</v>
      </c>
      <c r="I69" s="59" t="s">
        <v>104</v>
      </c>
      <c r="J69" s="59" t="s">
        <v>104</v>
      </c>
      <c r="K69" s="123" t="s">
        <v>104</v>
      </c>
      <c r="L69" s="123" t="s">
        <v>104</v>
      </c>
      <c r="M69" s="59" t="s">
        <v>104</v>
      </c>
      <c r="N69" s="71"/>
      <c r="O69" s="71"/>
      <c r="P69" s="59" t="s">
        <v>104</v>
      </c>
      <c r="Q69" s="59"/>
      <c r="R69" s="59" t="s">
        <v>104</v>
      </c>
      <c r="S69" s="123"/>
      <c r="T69" s="46"/>
      <c r="U69" s="46"/>
    </row>
    <row r="70" spans="1:23">
      <c r="A70" s="458"/>
      <c r="B70" s="450"/>
      <c r="C70" s="63" t="s">
        <v>168</v>
      </c>
      <c r="D70" s="64" t="s">
        <v>101</v>
      </c>
      <c r="E70" s="122">
        <v>1</v>
      </c>
      <c r="F70" s="122"/>
      <c r="G70" s="123">
        <f t="shared" si="13"/>
        <v>0.66666666666666663</v>
      </c>
      <c r="H70" s="60">
        <v>1</v>
      </c>
      <c r="I70" s="60">
        <v>1</v>
      </c>
      <c r="J70" s="75">
        <f>K70</f>
        <v>23678.79</v>
      </c>
      <c r="K70" s="46">
        <v>23678.79</v>
      </c>
      <c r="L70" s="123" t="s">
        <v>104</v>
      </c>
      <c r="M70" s="59" t="s">
        <v>104</v>
      </c>
      <c r="N70" s="71">
        <f>O70</f>
        <v>15785.86</v>
      </c>
      <c r="O70" s="71">
        <f>G70*K70</f>
        <v>15785.86</v>
      </c>
      <c r="P70" s="59" t="s">
        <v>104</v>
      </c>
      <c r="Q70" s="59"/>
      <c r="R70" s="59" t="s">
        <v>104</v>
      </c>
      <c r="S70" s="123"/>
      <c r="T70" s="46">
        <f>H70*K70</f>
        <v>23678.79</v>
      </c>
      <c r="U70" s="46">
        <f>I70*K70</f>
        <v>23678.79</v>
      </c>
      <c r="W70" s="182">
        <v>38189469.439999998</v>
      </c>
    </row>
    <row r="71" spans="1:23" ht="82.8">
      <c r="A71" s="458"/>
      <c r="B71" s="450"/>
      <c r="C71" s="61" t="s">
        <v>105</v>
      </c>
      <c r="D71" s="64" t="s">
        <v>101</v>
      </c>
      <c r="E71" s="122">
        <v>0</v>
      </c>
      <c r="F71" s="122"/>
      <c r="G71" s="122"/>
      <c r="H71" s="60">
        <v>0</v>
      </c>
      <c r="I71" s="60">
        <v>0</v>
      </c>
      <c r="J71" s="73">
        <f>K71</f>
        <v>183477.63999999998</v>
      </c>
      <c r="K71" s="207">
        <f>181478.86+1998.78</f>
        <v>183477.63999999998</v>
      </c>
      <c r="L71" s="211">
        <f>4001.99</f>
        <v>4001.99</v>
      </c>
      <c r="M71" s="70">
        <v>14934.34</v>
      </c>
      <c r="N71" s="71">
        <f>SUM(O71:R71)</f>
        <v>0</v>
      </c>
      <c r="O71" s="73">
        <f>G71*K71</f>
        <v>0</v>
      </c>
      <c r="P71" s="73">
        <f>E71*L71*3.080014262</f>
        <v>0</v>
      </c>
      <c r="Q71" s="73"/>
      <c r="R71" s="75">
        <f>G71*M71</f>
        <v>0</v>
      </c>
      <c r="S71" s="46"/>
      <c r="T71" s="46">
        <f>H71*K71</f>
        <v>0</v>
      </c>
      <c r="U71" s="46">
        <f>I71*K71</f>
        <v>0</v>
      </c>
      <c r="W71" s="192">
        <f>T82-W70</f>
        <v>-3131237.4366666675</v>
      </c>
    </row>
    <row r="72" spans="1:23">
      <c r="A72" s="458"/>
      <c r="B72" s="274"/>
      <c r="C72" s="293" t="s">
        <v>106</v>
      </c>
      <c r="D72" s="64"/>
      <c r="E72" s="122">
        <f>E68+E71</f>
        <v>46</v>
      </c>
      <c r="F72" s="122">
        <f>F68+F71</f>
        <v>32</v>
      </c>
      <c r="G72" s="122">
        <f>G68+G71</f>
        <v>41.333333333333336</v>
      </c>
      <c r="H72" s="60">
        <f>H68+H71</f>
        <v>46</v>
      </c>
      <c r="I72" s="60">
        <f>I68+I71</f>
        <v>46</v>
      </c>
      <c r="J72" s="73" t="s">
        <v>104</v>
      </c>
      <c r="K72" s="207" t="s">
        <v>104</v>
      </c>
      <c r="L72" s="185" t="s">
        <v>104</v>
      </c>
      <c r="M72" s="74" t="s">
        <v>104</v>
      </c>
      <c r="N72" s="103">
        <f>SUM(N68:N71)</f>
        <v>2585720.1666666665</v>
      </c>
      <c r="O72" s="74">
        <f>SUM(O68:O71)</f>
        <v>1803018.5266666668</v>
      </c>
      <c r="P72" s="74">
        <f>SUM(P68:P71)</f>
        <v>165415.58666666667</v>
      </c>
      <c r="Q72" s="74"/>
      <c r="R72" s="103">
        <f>SUM(R68:R71)</f>
        <v>617286.05333333334</v>
      </c>
      <c r="S72" s="185"/>
      <c r="T72" s="46">
        <f>SUM(T68:T71)</f>
        <v>2593613.0966666667</v>
      </c>
      <c r="U72" s="46">
        <f>SUM(U68:U71)</f>
        <v>2593613.0966666667</v>
      </c>
    </row>
    <row r="73" spans="1:23" ht="100.8" customHeight="1">
      <c r="A73" s="458"/>
      <c r="B73" s="137" t="s">
        <v>240</v>
      </c>
      <c r="C73" s="61" t="s">
        <v>187</v>
      </c>
      <c r="D73" s="64" t="s">
        <v>101</v>
      </c>
      <c r="E73" s="122">
        <v>887</v>
      </c>
      <c r="F73" s="122">
        <v>940</v>
      </c>
      <c r="G73" s="123">
        <f>((E73*8)+(F73*4))/12</f>
        <v>904.66666666666663</v>
      </c>
      <c r="H73" s="60">
        <v>879</v>
      </c>
      <c r="I73" s="60">
        <v>879</v>
      </c>
      <c r="J73" s="75">
        <f>K73</f>
        <v>3978.73</v>
      </c>
      <c r="K73" s="46">
        <v>3978.73</v>
      </c>
      <c r="L73" s="184" t="s">
        <v>104</v>
      </c>
      <c r="M73" s="72" t="s">
        <v>104</v>
      </c>
      <c r="N73" s="73">
        <f>SUM(O73:R73)</f>
        <v>3599424.4066666667</v>
      </c>
      <c r="O73" s="73">
        <f>K73*G73</f>
        <v>3599424.4066666667</v>
      </c>
      <c r="P73" s="73" t="s">
        <v>104</v>
      </c>
      <c r="Q73" s="73"/>
      <c r="R73" s="73" t="s">
        <v>104</v>
      </c>
      <c r="S73" s="207"/>
      <c r="T73" s="46">
        <f>H73*J73</f>
        <v>3497303.67</v>
      </c>
      <c r="U73" s="46">
        <f t="shared" ref="U73:U80" si="17">T73</f>
        <v>3497303.67</v>
      </c>
    </row>
    <row r="74" spans="1:23">
      <c r="A74" s="458"/>
      <c r="B74" s="69"/>
      <c r="C74" s="293" t="s">
        <v>106</v>
      </c>
      <c r="D74" s="69"/>
      <c r="E74" s="122">
        <f>SUM(E73:E73)</f>
        <v>887</v>
      </c>
      <c r="F74" s="122">
        <f>SUM(F73:F73)</f>
        <v>940</v>
      </c>
      <c r="G74" s="122">
        <f>SUM(G73:G73)</f>
        <v>904.66666666666663</v>
      </c>
      <c r="H74" s="60">
        <f>SUM(H73:H73)</f>
        <v>879</v>
      </c>
      <c r="I74" s="60">
        <f>SUM(I73:I73)</f>
        <v>879</v>
      </c>
      <c r="J74" s="73" t="s">
        <v>104</v>
      </c>
      <c r="K74" s="207" t="s">
        <v>104</v>
      </c>
      <c r="L74" s="185" t="s">
        <v>104</v>
      </c>
      <c r="M74" s="74">
        <f t="shared" ref="M74:R74" si="18">SUM(M73:M73)</f>
        <v>0</v>
      </c>
      <c r="N74" s="103">
        <f t="shared" si="18"/>
        <v>3599424.4066666667</v>
      </c>
      <c r="O74" s="74">
        <f>SUM(O73:O73)</f>
        <v>3599424.4066666667</v>
      </c>
      <c r="P74" s="74">
        <f t="shared" si="18"/>
        <v>0</v>
      </c>
      <c r="Q74" s="74"/>
      <c r="R74" s="74">
        <f t="shared" si="18"/>
        <v>0</v>
      </c>
      <c r="S74" s="185"/>
      <c r="T74" s="46">
        <f>N74</f>
        <v>3599424.4066666667</v>
      </c>
      <c r="U74" s="46">
        <f t="shared" si="17"/>
        <v>3599424.4066666667</v>
      </c>
    </row>
    <row r="75" spans="1:23" ht="13.95" hidden="1" customHeight="1">
      <c r="A75" s="458"/>
      <c r="B75" s="69" t="s">
        <v>283</v>
      </c>
      <c r="C75" s="181" t="s">
        <v>226</v>
      </c>
      <c r="D75" s="69"/>
      <c r="E75" s="122"/>
      <c r="F75" s="122"/>
      <c r="G75" s="122"/>
      <c r="H75" s="60"/>
      <c r="I75" s="60"/>
      <c r="J75" s="73"/>
      <c r="K75" s="207"/>
      <c r="L75" s="185"/>
      <c r="M75" s="74"/>
      <c r="N75" s="74">
        <f>P75</f>
        <v>0</v>
      </c>
      <c r="O75" s="74"/>
      <c r="P75" s="74"/>
      <c r="Q75" s="74"/>
      <c r="R75" s="74"/>
      <c r="S75" s="185"/>
      <c r="T75" s="46">
        <f>P75</f>
        <v>0</v>
      </c>
      <c r="U75" s="46">
        <f t="shared" si="17"/>
        <v>0</v>
      </c>
    </row>
    <row r="76" spans="1:23" ht="13.95" hidden="1" customHeight="1">
      <c r="A76" s="458"/>
      <c r="B76" s="89" t="s">
        <v>225</v>
      </c>
      <c r="C76" s="181" t="s">
        <v>219</v>
      </c>
      <c r="D76" s="64" t="s">
        <v>101</v>
      </c>
      <c r="E76" s="122">
        <v>19</v>
      </c>
      <c r="F76" s="122">
        <v>19</v>
      </c>
      <c r="G76" s="122">
        <v>19</v>
      </c>
      <c r="H76" s="60">
        <v>19</v>
      </c>
      <c r="I76" s="60">
        <v>19</v>
      </c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>
        <f>S76</f>
        <v>0</v>
      </c>
      <c r="U76" s="46">
        <f t="shared" si="17"/>
        <v>0</v>
      </c>
    </row>
    <row r="77" spans="1:23" ht="13.95" hidden="1" customHeight="1">
      <c r="A77" s="458"/>
      <c r="B77" s="89" t="s">
        <v>225</v>
      </c>
      <c r="C77" s="181" t="s">
        <v>226</v>
      </c>
      <c r="D77" s="64" t="s">
        <v>101</v>
      </c>
      <c r="E77" s="122">
        <v>4</v>
      </c>
      <c r="F77" s="122">
        <v>4</v>
      </c>
      <c r="G77" s="122">
        <v>4</v>
      </c>
      <c r="H77" s="60">
        <v>4</v>
      </c>
      <c r="I77" s="60">
        <v>4</v>
      </c>
      <c r="J77" s="73"/>
      <c r="K77" s="207"/>
      <c r="L77" s="185"/>
      <c r="M77" s="74"/>
      <c r="N77" s="74">
        <f>Q77</f>
        <v>0</v>
      </c>
      <c r="O77" s="74"/>
      <c r="P77" s="74"/>
      <c r="Q77" s="74"/>
      <c r="R77" s="74"/>
      <c r="S77" s="185"/>
      <c r="T77" s="46"/>
      <c r="U77" s="46">
        <f t="shared" si="17"/>
        <v>0</v>
      </c>
      <c r="V77" s="192">
        <f>Q77-T77</f>
        <v>0</v>
      </c>
    </row>
    <row r="78" spans="1:23" ht="13.95" hidden="1" customHeight="1">
      <c r="A78" s="458"/>
      <c r="B78" s="89" t="s">
        <v>282</v>
      </c>
      <c r="C78" s="181" t="s">
        <v>219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S78</f>
        <v>0</v>
      </c>
      <c r="O78" s="74"/>
      <c r="P78" s="74"/>
      <c r="Q78" s="74"/>
      <c r="R78" s="74"/>
      <c r="S78" s="185"/>
      <c r="T78" s="46"/>
      <c r="U78" s="46"/>
    </row>
    <row r="79" spans="1:23">
      <c r="A79" s="458"/>
      <c r="B79" s="89" t="s">
        <v>289</v>
      </c>
      <c r="C79" s="181" t="s">
        <v>226</v>
      </c>
      <c r="D79" s="64"/>
      <c r="E79" s="122">
        <v>22</v>
      </c>
      <c r="F79" s="122">
        <v>23</v>
      </c>
      <c r="G79" s="122">
        <v>22</v>
      </c>
      <c r="H79" s="60">
        <v>22</v>
      </c>
      <c r="I79" s="60">
        <v>22</v>
      </c>
      <c r="J79" s="73"/>
      <c r="K79" s="207"/>
      <c r="L79" s="185"/>
      <c r="M79" s="74"/>
      <c r="N79" s="74">
        <f>O79</f>
        <v>2577960</v>
      </c>
      <c r="O79" s="74">
        <v>2577960</v>
      </c>
      <c r="P79" s="74"/>
      <c r="Q79" s="74"/>
      <c r="R79" s="74"/>
      <c r="S79" s="185"/>
      <c r="T79" s="46">
        <v>2577960</v>
      </c>
      <c r="U79" s="46">
        <f>T79</f>
        <v>2577960</v>
      </c>
    </row>
    <row r="80" spans="1:23" ht="13.95" hidden="1" customHeight="1">
      <c r="A80" s="458"/>
      <c r="B80" s="89" t="s">
        <v>257</v>
      </c>
      <c r="C80" s="181" t="s">
        <v>226</v>
      </c>
      <c r="D80" s="64"/>
      <c r="E80" s="122"/>
      <c r="F80" s="122"/>
      <c r="G80" s="122"/>
      <c r="H80" s="60"/>
      <c r="I80" s="60"/>
      <c r="J80" s="73"/>
      <c r="K80" s="207"/>
      <c r="L80" s="185"/>
      <c r="M80" s="74"/>
      <c r="N80" s="74">
        <f>O80</f>
        <v>0</v>
      </c>
      <c r="O80" s="74"/>
      <c r="P80" s="74"/>
      <c r="Q80" s="74"/>
      <c r="R80" s="74"/>
      <c r="S80" s="185"/>
      <c r="T80" s="46">
        <f>O80</f>
        <v>0</v>
      </c>
      <c r="U80" s="46">
        <f t="shared" si="17"/>
        <v>0</v>
      </c>
    </row>
    <row r="81" spans="1:27" ht="13.95" hidden="1" customHeight="1">
      <c r="A81" s="458"/>
      <c r="B81" s="89" t="s">
        <v>290</v>
      </c>
      <c r="C81" s="181" t="s">
        <v>226</v>
      </c>
      <c r="D81" s="64"/>
      <c r="E81" s="122"/>
      <c r="F81" s="122"/>
      <c r="G81" s="122"/>
      <c r="H81" s="60"/>
      <c r="I81" s="60"/>
      <c r="J81" s="73"/>
      <c r="K81" s="207"/>
      <c r="L81" s="185"/>
      <c r="M81" s="74"/>
      <c r="N81" s="74">
        <f>P81</f>
        <v>0</v>
      </c>
      <c r="O81" s="74"/>
      <c r="P81" s="74"/>
      <c r="Q81" s="74"/>
      <c r="R81" s="74"/>
      <c r="S81" s="185"/>
      <c r="T81" s="46"/>
      <c r="U81" s="46">
        <f>T81</f>
        <v>0</v>
      </c>
    </row>
    <row r="82" spans="1:27">
      <c r="A82" s="458"/>
      <c r="B82" s="101" t="s">
        <v>112</v>
      </c>
      <c r="C82" s="101"/>
      <c r="D82" s="69"/>
      <c r="E82" s="214">
        <f>E58+E67+E72</f>
        <v>510</v>
      </c>
      <c r="F82" s="102">
        <f>F58+F67+F72</f>
        <v>522</v>
      </c>
      <c r="G82" s="214">
        <f>G58+G67+G72</f>
        <v>514</v>
      </c>
      <c r="H82" s="102">
        <f>H58+H67+H72</f>
        <v>510</v>
      </c>
      <c r="I82" s="102">
        <f>I58+I67+I72</f>
        <v>510</v>
      </c>
      <c r="J82" s="104"/>
      <c r="K82" s="221"/>
      <c r="L82" s="138"/>
      <c r="M82" s="103"/>
      <c r="N82" s="103">
        <f>SUM(O82:S82)</f>
        <v>36242154.299999997</v>
      </c>
      <c r="O82" s="103">
        <f>O58+O67+O72+O74+O79+O80</f>
        <v>26746472.02</v>
      </c>
      <c r="P82" s="103">
        <f>P58+P67+P72+P74+P75+P76+P77+P81</f>
        <v>2057022.86</v>
      </c>
      <c r="Q82" s="103">
        <f>Q58+Q67+Q72+Q74+Q75+Q76+Q77</f>
        <v>0</v>
      </c>
      <c r="R82" s="103">
        <f>R58+R67+R72+R74+R75+R76+R77+R78</f>
        <v>7438659.4200000009</v>
      </c>
      <c r="S82" s="138">
        <f>S58+S67+S72+S74+S75+S76+S77+S78</f>
        <v>0</v>
      </c>
      <c r="T82" s="138">
        <f>T58+T67+T72+T74+T75+T76+T77+T78+T79+T80+T81</f>
        <v>35058232.00333333</v>
      </c>
      <c r="U82" s="138">
        <f>U58+U67+U72+U74+U75+U76+U77+U78+U79+U80+U81</f>
        <v>35058232.00333333</v>
      </c>
      <c r="V82" s="192">
        <v>9512309.3499999996</v>
      </c>
      <c r="W82" s="192">
        <f>V82-R82</f>
        <v>2073649.9299999988</v>
      </c>
      <c r="X82" s="182">
        <f>W82/G82</f>
        <v>4034.3383852140055</v>
      </c>
      <c r="AA82" s="192"/>
    </row>
    <row r="83" spans="1:27" ht="82.95" customHeight="1">
      <c r="A83" s="449" t="s">
        <v>114</v>
      </c>
      <c r="B83" s="450" t="s">
        <v>237</v>
      </c>
      <c r="C83" s="61" t="s">
        <v>100</v>
      </c>
      <c r="D83" s="62" t="s">
        <v>101</v>
      </c>
      <c r="E83" s="123">
        <v>254</v>
      </c>
      <c r="F83" s="123">
        <v>256</v>
      </c>
      <c r="G83" s="123">
        <f t="shared" ref="G83:G106" si="19">((E83*8)+(F83*4))/12</f>
        <v>254.66666666666666</v>
      </c>
      <c r="H83" s="59">
        <v>254</v>
      </c>
      <c r="I83" s="59">
        <v>254</v>
      </c>
      <c r="J83" s="107">
        <f>SUM(K83:M83)</f>
        <v>42926.31</v>
      </c>
      <c r="K83" s="220">
        <f>23258.45+1351.63</f>
        <v>24610.080000000002</v>
      </c>
      <c r="L83" s="211">
        <f>4001.99</f>
        <v>4001.99</v>
      </c>
      <c r="M83" s="70">
        <v>14314.24</v>
      </c>
      <c r="N83" s="71">
        <f>SUM(O83:R83)</f>
        <v>10931900.66</v>
      </c>
      <c r="O83" s="71">
        <f>G83*K83</f>
        <v>6267367.04</v>
      </c>
      <c r="P83" s="71">
        <f>G83*L83</f>
        <v>1019173.4533333333</v>
      </c>
      <c r="Q83" s="71"/>
      <c r="R83" s="75">
        <f>G83*M83+0.38</f>
        <v>3645360.1666666665</v>
      </c>
      <c r="S83" s="46"/>
      <c r="T83" s="46">
        <f>N83</f>
        <v>10931900.66</v>
      </c>
      <c r="U83" s="46">
        <f>T83</f>
        <v>10931900.66</v>
      </c>
    </row>
    <row r="84" spans="1:27" ht="82.8">
      <c r="A84" s="449"/>
      <c r="B84" s="450"/>
      <c r="C84" s="63" t="s">
        <v>163</v>
      </c>
      <c r="D84" s="64" t="s">
        <v>101</v>
      </c>
      <c r="E84" s="123" t="s">
        <v>104</v>
      </c>
      <c r="F84" s="123" t="s">
        <v>104</v>
      </c>
      <c r="G84" s="123" t="s">
        <v>104</v>
      </c>
      <c r="H84" s="59" t="s">
        <v>104</v>
      </c>
      <c r="I84" s="59" t="s">
        <v>104</v>
      </c>
      <c r="J84" s="59" t="s">
        <v>104</v>
      </c>
      <c r="K84" s="123" t="s">
        <v>104</v>
      </c>
      <c r="L84" s="123" t="s">
        <v>104</v>
      </c>
      <c r="M84" s="59" t="s">
        <v>104</v>
      </c>
      <c r="N84" s="59"/>
      <c r="O84" s="59"/>
      <c r="P84" s="59" t="s">
        <v>104</v>
      </c>
      <c r="Q84" s="59"/>
      <c r="R84" s="59" t="s">
        <v>104</v>
      </c>
      <c r="S84" s="123"/>
      <c r="T84" s="46"/>
      <c r="U84" s="46"/>
    </row>
    <row r="85" spans="1:27">
      <c r="A85" s="449"/>
      <c r="B85" s="450"/>
      <c r="C85" s="63" t="s">
        <v>171</v>
      </c>
      <c r="D85" s="64" t="s">
        <v>101</v>
      </c>
      <c r="E85" s="123"/>
      <c r="F85" s="123"/>
      <c r="G85" s="123">
        <f t="shared" si="19"/>
        <v>0</v>
      </c>
      <c r="H85" s="59"/>
      <c r="I85" s="59"/>
      <c r="J85" s="75">
        <f t="shared" ref="J85:J90" si="20">K85</f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ref="N85:N90" si="21">O85</f>
        <v>0</v>
      </c>
      <c r="O85" s="71">
        <f>G85*K85</f>
        <v>0</v>
      </c>
      <c r="P85" s="59" t="s">
        <v>104</v>
      </c>
      <c r="Q85" s="59"/>
      <c r="R85" s="59" t="s">
        <v>104</v>
      </c>
      <c r="S85" s="123"/>
      <c r="T85" s="46">
        <f t="shared" ref="T85:T90" si="22">H85*K85</f>
        <v>0</v>
      </c>
      <c r="U85" s="46">
        <f t="shared" ref="U85:U90" si="23">I85*K85</f>
        <v>0</v>
      </c>
    </row>
    <row r="86" spans="1:27">
      <c r="A86" s="449"/>
      <c r="B86" s="450"/>
      <c r="C86" s="63" t="s">
        <v>164</v>
      </c>
      <c r="D86" s="64" t="s">
        <v>101</v>
      </c>
      <c r="E86" s="123">
        <v>3</v>
      </c>
      <c r="F86" s="123">
        <v>3</v>
      </c>
      <c r="G86" s="123">
        <f t="shared" si="19"/>
        <v>3</v>
      </c>
      <c r="H86" s="59">
        <v>3</v>
      </c>
      <c r="I86" s="59">
        <v>3</v>
      </c>
      <c r="J86" s="75">
        <f t="shared" si="20"/>
        <v>25714.959999999999</v>
      </c>
      <c r="K86" s="46">
        <v>25714.959999999999</v>
      </c>
      <c r="L86" s="123" t="s">
        <v>104</v>
      </c>
      <c r="M86" s="59" t="s">
        <v>104</v>
      </c>
      <c r="N86" s="71">
        <f t="shared" si="21"/>
        <v>77144.88</v>
      </c>
      <c r="O86" s="71">
        <f t="shared" ref="O86:O90" si="24">G86*K86</f>
        <v>77144.88</v>
      </c>
      <c r="P86" s="59" t="s">
        <v>104</v>
      </c>
      <c r="Q86" s="59"/>
      <c r="R86" s="59" t="s">
        <v>104</v>
      </c>
      <c r="S86" s="123"/>
      <c r="T86" s="46">
        <f t="shared" si="22"/>
        <v>77144.88</v>
      </c>
      <c r="U86" s="46">
        <f t="shared" si="23"/>
        <v>77144.88</v>
      </c>
    </row>
    <row r="87" spans="1:27">
      <c r="A87" s="449"/>
      <c r="B87" s="450"/>
      <c r="C87" s="63" t="s">
        <v>169</v>
      </c>
      <c r="D87" s="64" t="s">
        <v>101</v>
      </c>
      <c r="E87" s="123">
        <v>17</v>
      </c>
      <c r="F87" s="123">
        <v>18</v>
      </c>
      <c r="G87" s="123">
        <f t="shared" si="19"/>
        <v>17.333333333333332</v>
      </c>
      <c r="H87" s="59">
        <v>17</v>
      </c>
      <c r="I87" s="59">
        <v>17</v>
      </c>
      <c r="J87" s="75">
        <f t="shared" si="20"/>
        <v>69482.740000000005</v>
      </c>
      <c r="K87" s="46">
        <v>69482.740000000005</v>
      </c>
      <c r="L87" s="123" t="s">
        <v>104</v>
      </c>
      <c r="M87" s="59" t="s">
        <v>104</v>
      </c>
      <c r="N87" s="71">
        <f t="shared" si="21"/>
        <v>1204367.4933333334</v>
      </c>
      <c r="O87" s="71">
        <f t="shared" si="24"/>
        <v>1204367.4933333334</v>
      </c>
      <c r="P87" s="59" t="s">
        <v>104</v>
      </c>
      <c r="Q87" s="59"/>
      <c r="R87" s="59" t="s">
        <v>104</v>
      </c>
      <c r="S87" s="123"/>
      <c r="T87" s="46">
        <f t="shared" si="22"/>
        <v>1181206.58</v>
      </c>
      <c r="U87" s="46">
        <f t="shared" si="23"/>
        <v>1181206.58</v>
      </c>
    </row>
    <row r="88" spans="1:27">
      <c r="A88" s="449"/>
      <c r="B88" s="450"/>
      <c r="C88" s="63" t="s">
        <v>165</v>
      </c>
      <c r="D88" s="64" t="s">
        <v>101</v>
      </c>
      <c r="E88" s="123">
        <v>1</v>
      </c>
      <c r="F88" s="123">
        <v>2</v>
      </c>
      <c r="G88" s="123">
        <f t="shared" si="19"/>
        <v>1.3333333333333333</v>
      </c>
      <c r="H88" s="59">
        <v>1</v>
      </c>
      <c r="I88" s="59">
        <v>1</v>
      </c>
      <c r="J88" s="75">
        <f t="shared" si="20"/>
        <v>92591.35</v>
      </c>
      <c r="K88" s="46">
        <v>92591.35</v>
      </c>
      <c r="L88" s="123" t="s">
        <v>104</v>
      </c>
      <c r="M88" s="59" t="s">
        <v>104</v>
      </c>
      <c r="N88" s="71">
        <f t="shared" si="21"/>
        <v>123455.13333333333</v>
      </c>
      <c r="O88" s="71">
        <f t="shared" si="24"/>
        <v>123455.13333333333</v>
      </c>
      <c r="P88" s="59" t="s">
        <v>104</v>
      </c>
      <c r="Q88" s="59"/>
      <c r="R88" s="59" t="s">
        <v>104</v>
      </c>
      <c r="S88" s="123"/>
      <c r="T88" s="46">
        <f t="shared" si="22"/>
        <v>92591.35</v>
      </c>
      <c r="U88" s="46">
        <f t="shared" si="23"/>
        <v>92591.35</v>
      </c>
    </row>
    <row r="89" spans="1:27">
      <c r="A89" s="449"/>
      <c r="B89" s="450"/>
      <c r="C89" s="63" t="s">
        <v>166</v>
      </c>
      <c r="D89" s="64" t="s">
        <v>101</v>
      </c>
      <c r="E89" s="123">
        <v>6</v>
      </c>
      <c r="F89" s="123">
        <v>7</v>
      </c>
      <c r="G89" s="123">
        <f t="shared" si="19"/>
        <v>6.333333333333333</v>
      </c>
      <c r="H89" s="59">
        <v>6</v>
      </c>
      <c r="I89" s="59">
        <v>6</v>
      </c>
      <c r="J89" s="75">
        <f t="shared" si="20"/>
        <v>66481.399999999994</v>
      </c>
      <c r="K89" s="46">
        <v>66481.399999999994</v>
      </c>
      <c r="L89" s="123" t="s">
        <v>104</v>
      </c>
      <c r="M89" s="59" t="s">
        <v>104</v>
      </c>
      <c r="N89" s="71">
        <f t="shared" si="21"/>
        <v>421048.86666666658</v>
      </c>
      <c r="O89" s="71">
        <f t="shared" si="24"/>
        <v>421048.86666666658</v>
      </c>
      <c r="P89" s="59" t="s">
        <v>104</v>
      </c>
      <c r="Q89" s="59"/>
      <c r="R89" s="59" t="s">
        <v>104</v>
      </c>
      <c r="S89" s="123"/>
      <c r="T89" s="46">
        <f t="shared" si="22"/>
        <v>398888.39999999997</v>
      </c>
      <c r="U89" s="46">
        <f t="shared" si="23"/>
        <v>398888.39999999997</v>
      </c>
    </row>
    <row r="90" spans="1:27">
      <c r="A90" s="449"/>
      <c r="B90" s="450"/>
      <c r="C90" s="63" t="s">
        <v>168</v>
      </c>
      <c r="D90" s="64" t="s">
        <v>101</v>
      </c>
      <c r="E90" s="123"/>
      <c r="F90" s="123"/>
      <c r="G90" s="123">
        <f t="shared" si="19"/>
        <v>0</v>
      </c>
      <c r="H90" s="59"/>
      <c r="I90" s="59"/>
      <c r="J90" s="75">
        <f t="shared" si="20"/>
        <v>23678.79</v>
      </c>
      <c r="K90" s="46">
        <v>23678.79</v>
      </c>
      <c r="L90" s="123" t="s">
        <v>104</v>
      </c>
      <c r="M90" s="59" t="s">
        <v>104</v>
      </c>
      <c r="N90" s="71">
        <f t="shared" si="21"/>
        <v>0</v>
      </c>
      <c r="O90" s="71">
        <f t="shared" si="24"/>
        <v>0</v>
      </c>
      <c r="P90" s="59" t="s">
        <v>104</v>
      </c>
      <c r="Q90" s="59"/>
      <c r="R90" s="59" t="s">
        <v>104</v>
      </c>
      <c r="S90" s="123"/>
      <c r="T90" s="46">
        <f t="shared" si="22"/>
        <v>0</v>
      </c>
      <c r="U90" s="46">
        <f t="shared" si="23"/>
        <v>0</v>
      </c>
    </row>
    <row r="91" spans="1:27" ht="84" customHeight="1">
      <c r="A91" s="449"/>
      <c r="B91" s="450"/>
      <c r="C91" s="61" t="s">
        <v>105</v>
      </c>
      <c r="D91" s="64" t="s">
        <v>101</v>
      </c>
      <c r="E91" s="123">
        <v>1</v>
      </c>
      <c r="F91" s="123">
        <v>2</v>
      </c>
      <c r="G91" s="123">
        <f t="shared" si="19"/>
        <v>1.3333333333333333</v>
      </c>
      <c r="H91" s="59">
        <v>1</v>
      </c>
      <c r="I91" s="59">
        <v>1</v>
      </c>
      <c r="J91" s="75">
        <f>SUM(K91:M91)</f>
        <v>141179.59</v>
      </c>
      <c r="K91" s="46">
        <f>121511.73+1351.63</f>
        <v>122863.36</v>
      </c>
      <c r="L91" s="211">
        <f>4001.99</f>
        <v>4001.99</v>
      </c>
      <c r="M91" s="70">
        <v>14314.24</v>
      </c>
      <c r="N91" s="71">
        <f>SUM(O91:R91)</f>
        <v>188239.45333333331</v>
      </c>
      <c r="O91" s="71">
        <f>G91*K91</f>
        <v>163817.81333333332</v>
      </c>
      <c r="P91" s="71">
        <f>G91*L91</f>
        <v>5335.9866666666658</v>
      </c>
      <c r="Q91" s="71"/>
      <c r="R91" s="75">
        <f>G91*M91</f>
        <v>19085.653333333332</v>
      </c>
      <c r="S91" s="46"/>
      <c r="T91" s="46">
        <f>N91</f>
        <v>188239.45333333331</v>
      </c>
      <c r="U91" s="46">
        <f>T91</f>
        <v>188239.45333333331</v>
      </c>
    </row>
    <row r="92" spans="1:27">
      <c r="A92" s="449"/>
      <c r="B92" s="450"/>
      <c r="C92" s="293" t="s">
        <v>106</v>
      </c>
      <c r="D92" s="67"/>
      <c r="E92" s="123">
        <f>E83+E91</f>
        <v>255</v>
      </c>
      <c r="F92" s="123">
        <f>F83+F91</f>
        <v>258</v>
      </c>
      <c r="G92" s="123">
        <f>G83+G91</f>
        <v>256</v>
      </c>
      <c r="H92" s="59">
        <f>H83+H91</f>
        <v>255</v>
      </c>
      <c r="I92" s="59">
        <f>I83+I91</f>
        <v>255</v>
      </c>
      <c r="J92" s="71" t="s">
        <v>104</v>
      </c>
      <c r="K92" s="205" t="s">
        <v>104</v>
      </c>
      <c r="L92" s="205" t="s">
        <v>104</v>
      </c>
      <c r="M92" s="71" t="s">
        <v>104</v>
      </c>
      <c r="N92" s="118">
        <f t="shared" ref="N92:T92" si="25">SUM(N83:N91)</f>
        <v>12946156.486666668</v>
      </c>
      <c r="O92" s="71">
        <f t="shared" si="25"/>
        <v>8257201.2266666666</v>
      </c>
      <c r="P92" s="71">
        <f t="shared" si="25"/>
        <v>1024509.4399999999</v>
      </c>
      <c r="Q92" s="71"/>
      <c r="R92" s="118">
        <f t="shared" si="25"/>
        <v>3664445.82</v>
      </c>
      <c r="S92" s="205"/>
      <c r="T92" s="205">
        <f t="shared" si="25"/>
        <v>12869971.323333334</v>
      </c>
      <c r="U92" s="205">
        <f>T92</f>
        <v>12869971.323333334</v>
      </c>
    </row>
    <row r="93" spans="1:27" ht="82.95" customHeight="1">
      <c r="A93" s="449"/>
      <c r="B93" s="450" t="s">
        <v>238</v>
      </c>
      <c r="C93" s="61" t="s">
        <v>100</v>
      </c>
      <c r="D93" s="62" t="s">
        <v>101</v>
      </c>
      <c r="E93" s="123">
        <v>211</v>
      </c>
      <c r="F93" s="123">
        <v>241</v>
      </c>
      <c r="G93" s="123">
        <f t="shared" si="19"/>
        <v>221</v>
      </c>
      <c r="H93" s="59">
        <v>211</v>
      </c>
      <c r="I93" s="59">
        <v>211</v>
      </c>
      <c r="J93" s="107">
        <f>SUM(K93:M93)</f>
        <v>54702.01</v>
      </c>
      <c r="K93" s="220">
        <f>34483.05+1649.65</f>
        <v>36132.700000000004</v>
      </c>
      <c r="L93" s="211">
        <f>4001.99</f>
        <v>4001.99</v>
      </c>
      <c r="M93" s="70">
        <v>14567.32</v>
      </c>
      <c r="N93" s="71">
        <f>SUM(O93:R93)</f>
        <v>12089144.210000001</v>
      </c>
      <c r="O93" s="71">
        <f>G93*K93</f>
        <v>7985326.7000000011</v>
      </c>
      <c r="P93" s="71">
        <f>G93*L93</f>
        <v>884439.78999999992</v>
      </c>
      <c r="Q93" s="71"/>
      <c r="R93" s="75">
        <f>G93*M93</f>
        <v>3219377.7199999997</v>
      </c>
      <c r="S93" s="46"/>
      <c r="T93" s="46">
        <f>N93</f>
        <v>12089144.210000001</v>
      </c>
      <c r="U93" s="46">
        <f>T93</f>
        <v>12089144.210000001</v>
      </c>
    </row>
    <row r="94" spans="1:27" ht="82.8">
      <c r="A94" s="449"/>
      <c r="B94" s="450"/>
      <c r="C94" s="63" t="s">
        <v>163</v>
      </c>
      <c r="D94" s="64" t="s">
        <v>101</v>
      </c>
      <c r="E94" s="123" t="s">
        <v>104</v>
      </c>
      <c r="F94" s="123" t="s">
        <v>104</v>
      </c>
      <c r="G94" s="123" t="s">
        <v>104</v>
      </c>
      <c r="H94" s="59" t="s">
        <v>104</v>
      </c>
      <c r="I94" s="59" t="s">
        <v>104</v>
      </c>
      <c r="J94" s="59" t="s">
        <v>104</v>
      </c>
      <c r="K94" s="123" t="s">
        <v>104</v>
      </c>
      <c r="L94" s="123" t="s">
        <v>104</v>
      </c>
      <c r="M94" s="59" t="s">
        <v>104</v>
      </c>
      <c r="N94" s="71"/>
      <c r="O94" s="71"/>
      <c r="P94" s="59" t="s">
        <v>104</v>
      </c>
      <c r="Q94" s="59"/>
      <c r="R94" s="59" t="s">
        <v>104</v>
      </c>
      <c r="S94" s="123"/>
      <c r="T94" s="46"/>
      <c r="U94" s="46"/>
    </row>
    <row r="95" spans="1:27">
      <c r="A95" s="449"/>
      <c r="B95" s="450"/>
      <c r="C95" s="63" t="s">
        <v>171</v>
      </c>
      <c r="D95" s="64" t="s">
        <v>101</v>
      </c>
      <c r="E95" s="122">
        <v>2</v>
      </c>
      <c r="F95" s="122">
        <v>1</v>
      </c>
      <c r="G95" s="123">
        <f t="shared" si="19"/>
        <v>1.6666666666666667</v>
      </c>
      <c r="H95" s="60">
        <v>2</v>
      </c>
      <c r="I95" s="60">
        <v>2</v>
      </c>
      <c r="J95" s="75">
        <f>K95</f>
        <v>69482.740000000005</v>
      </c>
      <c r="K95" s="46">
        <v>69482.740000000005</v>
      </c>
      <c r="L95" s="123" t="s">
        <v>104</v>
      </c>
      <c r="M95" s="59" t="s">
        <v>104</v>
      </c>
      <c r="N95" s="71">
        <f>O95</f>
        <v>115804.56666666668</v>
      </c>
      <c r="O95" s="71">
        <f>G95*K95</f>
        <v>115804.56666666668</v>
      </c>
      <c r="P95" s="59" t="s">
        <v>104</v>
      </c>
      <c r="Q95" s="59"/>
      <c r="R95" s="59" t="s">
        <v>104</v>
      </c>
      <c r="S95" s="123"/>
      <c r="T95" s="46">
        <f>H95*K95</f>
        <v>138965.48000000001</v>
      </c>
      <c r="U95" s="46">
        <f>I95*K95</f>
        <v>138965.48000000001</v>
      </c>
    </row>
    <row r="96" spans="1:27">
      <c r="A96" s="449"/>
      <c r="B96" s="450"/>
      <c r="C96" s="63" t="s">
        <v>165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K96</f>
        <v>92591.35</v>
      </c>
      <c r="K96" s="46">
        <v>92591.35</v>
      </c>
      <c r="L96" s="123" t="s">
        <v>104</v>
      </c>
      <c r="M96" s="59" t="s">
        <v>104</v>
      </c>
      <c r="N96" s="71">
        <f>O96</f>
        <v>0</v>
      </c>
      <c r="O96" s="71">
        <f t="shared" ref="O96:O97" si="26">G96*K96</f>
        <v>0</v>
      </c>
      <c r="P96" s="59" t="s">
        <v>104</v>
      </c>
      <c r="Q96" s="59"/>
      <c r="R96" s="59" t="s">
        <v>104</v>
      </c>
      <c r="S96" s="123"/>
      <c r="T96" s="46">
        <f>H96*K96</f>
        <v>0</v>
      </c>
      <c r="U96" s="46">
        <f>I96*K96</f>
        <v>0</v>
      </c>
    </row>
    <row r="97" spans="1:23">
      <c r="A97" s="449"/>
      <c r="B97" s="450"/>
      <c r="C97" s="63" t="s">
        <v>168</v>
      </c>
      <c r="D97" s="64" t="s">
        <v>101</v>
      </c>
      <c r="E97" s="122">
        <v>1</v>
      </c>
      <c r="F97" s="122">
        <v>1</v>
      </c>
      <c r="G97" s="123">
        <f t="shared" si="19"/>
        <v>1</v>
      </c>
      <c r="H97" s="60">
        <v>1</v>
      </c>
      <c r="I97" s="60">
        <v>1</v>
      </c>
      <c r="J97" s="75">
        <f>K97</f>
        <v>23678.79</v>
      </c>
      <c r="K97" s="46">
        <v>23678.79</v>
      </c>
      <c r="L97" s="123" t="s">
        <v>104</v>
      </c>
      <c r="M97" s="59" t="s">
        <v>104</v>
      </c>
      <c r="N97" s="71">
        <f>O97</f>
        <v>23678.79</v>
      </c>
      <c r="O97" s="71">
        <f t="shared" si="26"/>
        <v>23678.79</v>
      </c>
      <c r="P97" s="59" t="s">
        <v>104</v>
      </c>
      <c r="Q97" s="59"/>
      <c r="R97" s="59" t="s">
        <v>104</v>
      </c>
      <c r="S97" s="123"/>
      <c r="T97" s="46">
        <f>H97*K97</f>
        <v>23678.79</v>
      </c>
      <c r="U97" s="46">
        <f>I97*K97</f>
        <v>23678.79</v>
      </c>
    </row>
    <row r="98" spans="1:23" ht="82.8">
      <c r="A98" s="449"/>
      <c r="B98" s="450"/>
      <c r="C98" s="61" t="s">
        <v>105</v>
      </c>
      <c r="D98" s="64" t="s">
        <v>101</v>
      </c>
      <c r="E98" s="122"/>
      <c r="F98" s="122"/>
      <c r="G98" s="123">
        <f t="shared" si="19"/>
        <v>0</v>
      </c>
      <c r="H98" s="60"/>
      <c r="I98" s="60"/>
      <c r="J98" s="75">
        <f>SUM(K98:M98)</f>
        <v>157146.93</v>
      </c>
      <c r="K98" s="46">
        <f>151495.29+1649.65</f>
        <v>153144.94</v>
      </c>
      <c r="L98" s="211">
        <f>4001.99</f>
        <v>4001.99</v>
      </c>
      <c r="M98" s="70">
        <v>0</v>
      </c>
      <c r="N98" s="73">
        <f>SUM(O98:R98)</f>
        <v>0</v>
      </c>
      <c r="O98" s="71">
        <f>G98*K98</f>
        <v>0</v>
      </c>
      <c r="P98" s="73">
        <f>G98*L98</f>
        <v>0</v>
      </c>
      <c r="Q98" s="73"/>
      <c r="R98" s="75">
        <f>G98*M98</f>
        <v>0</v>
      </c>
      <c r="S98" s="46"/>
      <c r="T98" s="46">
        <f>N98</f>
        <v>0</v>
      </c>
      <c r="U98" s="46">
        <f>T98</f>
        <v>0</v>
      </c>
    </row>
    <row r="99" spans="1:23">
      <c r="A99" s="449"/>
      <c r="B99" s="274"/>
      <c r="C99" s="293" t="s">
        <v>106</v>
      </c>
      <c r="D99" s="64"/>
      <c r="E99" s="122">
        <f>E93+E98</f>
        <v>211</v>
      </c>
      <c r="F99" s="122">
        <f>F93+F98</f>
        <v>241</v>
      </c>
      <c r="G99" s="122">
        <f>G93+G98</f>
        <v>221</v>
      </c>
      <c r="H99" s="60">
        <f>H93+H98</f>
        <v>211</v>
      </c>
      <c r="I99" s="60">
        <f>I93+I98</f>
        <v>211</v>
      </c>
      <c r="J99" s="73" t="s">
        <v>104</v>
      </c>
      <c r="K99" s="207" t="s">
        <v>104</v>
      </c>
      <c r="L99" s="185" t="s">
        <v>104</v>
      </c>
      <c r="M99" s="74" t="s">
        <v>104</v>
      </c>
      <c r="N99" s="103">
        <f>SUM(N93:N98)</f>
        <v>12228627.566666666</v>
      </c>
      <c r="O99" s="74">
        <f t="shared" ref="O99:U99" si="27">SUM(O93:O98)</f>
        <v>8124810.0566666676</v>
      </c>
      <c r="P99" s="74">
        <f t="shared" si="27"/>
        <v>884439.78999999992</v>
      </c>
      <c r="Q99" s="74"/>
      <c r="R99" s="103">
        <f t="shared" si="27"/>
        <v>3219377.7199999997</v>
      </c>
      <c r="S99" s="185"/>
      <c r="T99" s="185">
        <f t="shared" si="27"/>
        <v>12251788.48</v>
      </c>
      <c r="U99" s="185">
        <f t="shared" si="27"/>
        <v>12251788.48</v>
      </c>
    </row>
    <row r="100" spans="1:23" ht="82.95" customHeight="1">
      <c r="A100" s="449"/>
      <c r="B100" s="450" t="s">
        <v>239</v>
      </c>
      <c r="C100" s="61" t="s">
        <v>100</v>
      </c>
      <c r="D100" s="62" t="s">
        <v>101</v>
      </c>
      <c r="E100" s="122">
        <v>61</v>
      </c>
      <c r="F100" s="122">
        <v>45</v>
      </c>
      <c r="G100" s="123">
        <f t="shared" si="19"/>
        <v>55.666666666666664</v>
      </c>
      <c r="H100" s="60">
        <v>61</v>
      </c>
      <c r="I100" s="60">
        <v>61</v>
      </c>
      <c r="J100" s="107">
        <f>SUM(K100:M100)</f>
        <v>62175.83</v>
      </c>
      <c r="K100" s="220">
        <f>41240.72+1998.78</f>
        <v>43239.5</v>
      </c>
      <c r="L100" s="211">
        <f>4001.99</f>
        <v>4001.99</v>
      </c>
      <c r="M100" s="70">
        <v>14934.34</v>
      </c>
      <c r="N100" s="73">
        <f>SUM(O100:R100)</f>
        <v>3461121.2033333331</v>
      </c>
      <c r="O100" s="73">
        <f>G100*K100</f>
        <v>2406998.833333333</v>
      </c>
      <c r="P100" s="73">
        <f>G100*L100</f>
        <v>222777.4433333333</v>
      </c>
      <c r="Q100" s="73"/>
      <c r="R100" s="75">
        <f>G100*M100</f>
        <v>831344.92666666664</v>
      </c>
      <c r="S100" s="46"/>
      <c r="T100" s="46">
        <f>N100</f>
        <v>3461121.2033333331</v>
      </c>
      <c r="U100" s="46">
        <f>T100</f>
        <v>3461121.2033333331</v>
      </c>
    </row>
    <row r="101" spans="1:23" ht="82.8">
      <c r="A101" s="449"/>
      <c r="B101" s="450"/>
      <c r="C101" s="63" t="s">
        <v>163</v>
      </c>
      <c r="D101" s="64" t="s">
        <v>101</v>
      </c>
      <c r="E101" s="123" t="s">
        <v>104</v>
      </c>
      <c r="F101" s="123" t="s">
        <v>104</v>
      </c>
      <c r="G101" s="123" t="s">
        <v>104</v>
      </c>
      <c r="H101" s="59" t="s">
        <v>104</v>
      </c>
      <c r="I101" s="59" t="s">
        <v>104</v>
      </c>
      <c r="J101" s="59" t="s">
        <v>104</v>
      </c>
      <c r="K101" s="123" t="s">
        <v>104</v>
      </c>
      <c r="L101" s="123" t="s">
        <v>104</v>
      </c>
      <c r="M101" s="59" t="s">
        <v>104</v>
      </c>
      <c r="N101" s="71"/>
      <c r="O101" s="71"/>
      <c r="P101" s="59" t="s">
        <v>104</v>
      </c>
      <c r="Q101" s="59"/>
      <c r="R101" s="59" t="s">
        <v>104</v>
      </c>
      <c r="S101" s="123"/>
      <c r="T101" s="46"/>
      <c r="U101" s="46"/>
    </row>
    <row r="102" spans="1:23">
      <c r="A102" s="449"/>
      <c r="B102" s="450"/>
      <c r="C102" s="63" t="s">
        <v>165</v>
      </c>
      <c r="D102" s="64" t="s">
        <v>101</v>
      </c>
      <c r="E102" s="122"/>
      <c r="F102" s="122"/>
      <c r="G102" s="123">
        <f t="shared" si="19"/>
        <v>0</v>
      </c>
      <c r="H102" s="60">
        <v>0</v>
      </c>
      <c r="I102" s="60">
        <v>0</v>
      </c>
      <c r="J102" s="75">
        <f>K102</f>
        <v>92591.35</v>
      </c>
      <c r="K102" s="46">
        <v>92591.35</v>
      </c>
      <c r="L102" s="123" t="s">
        <v>104</v>
      </c>
      <c r="M102" s="59" t="s">
        <v>104</v>
      </c>
      <c r="N102" s="71">
        <f>O102</f>
        <v>0</v>
      </c>
      <c r="O102" s="71">
        <f>G102*K102</f>
        <v>0</v>
      </c>
      <c r="P102" s="59" t="s">
        <v>104</v>
      </c>
      <c r="Q102" s="59"/>
      <c r="R102" s="59" t="s">
        <v>104</v>
      </c>
      <c r="S102" s="123"/>
      <c r="T102" s="46">
        <f>H102*K102</f>
        <v>0</v>
      </c>
      <c r="U102" s="46">
        <f>I102*K102</f>
        <v>0</v>
      </c>
      <c r="W102" s="182">
        <v>35580676.469999999</v>
      </c>
    </row>
    <row r="103" spans="1:23" ht="18" customHeight="1">
      <c r="A103" s="449"/>
      <c r="B103" s="450"/>
      <c r="C103" s="63" t="s">
        <v>168</v>
      </c>
      <c r="D103" s="64" t="s">
        <v>101</v>
      </c>
      <c r="E103" s="122">
        <v>2</v>
      </c>
      <c r="F103" s="122">
        <v>1</v>
      </c>
      <c r="G103" s="215">
        <f t="shared" si="19"/>
        <v>1.6666666666666667</v>
      </c>
      <c r="H103" s="60">
        <v>2</v>
      </c>
      <c r="I103" s="60">
        <v>2</v>
      </c>
      <c r="J103" s="75">
        <f>K103</f>
        <v>23678.79</v>
      </c>
      <c r="K103" s="46">
        <v>23678.79</v>
      </c>
      <c r="L103" s="123" t="s">
        <v>104</v>
      </c>
      <c r="M103" s="70">
        <v>14934.34</v>
      </c>
      <c r="N103" s="71">
        <f>O103</f>
        <v>39464.65</v>
      </c>
      <c r="O103" s="71">
        <f>G103*K103</f>
        <v>39464.65</v>
      </c>
      <c r="P103" s="59" t="s">
        <v>104</v>
      </c>
      <c r="Q103" s="59"/>
      <c r="R103" s="59" t="s">
        <v>104</v>
      </c>
      <c r="S103" s="123"/>
      <c r="T103" s="46">
        <f>H103*K103</f>
        <v>47357.58</v>
      </c>
      <c r="U103" s="46">
        <f>I103*K103</f>
        <v>47357.58</v>
      </c>
    </row>
    <row r="104" spans="1:23" ht="82.8">
      <c r="A104" s="449"/>
      <c r="B104" s="450"/>
      <c r="C104" s="61" t="s">
        <v>105</v>
      </c>
      <c r="D104" s="64" t="s">
        <v>101</v>
      </c>
      <c r="E104" s="122">
        <v>1</v>
      </c>
      <c r="F104" s="122">
        <v>1</v>
      </c>
      <c r="G104" s="123">
        <f t="shared" si="19"/>
        <v>1</v>
      </c>
      <c r="H104" s="60">
        <v>1</v>
      </c>
      <c r="I104" s="60">
        <v>1</v>
      </c>
      <c r="J104" s="75">
        <f>SUM(K104:M104)</f>
        <v>202413.96999999997</v>
      </c>
      <c r="K104" s="46">
        <f>181478.86+1998.78</f>
        <v>183477.63999999998</v>
      </c>
      <c r="L104" s="211">
        <f>4001.99</f>
        <v>4001.99</v>
      </c>
      <c r="M104" s="70">
        <v>14934.34</v>
      </c>
      <c r="N104" s="73">
        <f>SUM(O104:R104)</f>
        <v>202413.96999999997</v>
      </c>
      <c r="O104" s="71">
        <f>G104*K104</f>
        <v>183477.63999999998</v>
      </c>
      <c r="P104" s="73">
        <f>G104*L104</f>
        <v>4001.99</v>
      </c>
      <c r="Q104" s="73"/>
      <c r="R104" s="75">
        <f>G104*M104</f>
        <v>14934.34</v>
      </c>
      <c r="S104" s="207"/>
      <c r="T104" s="46">
        <f>H104*J104</f>
        <v>202413.96999999997</v>
      </c>
      <c r="U104" s="46">
        <f>I104*J104</f>
        <v>202413.96999999997</v>
      </c>
    </row>
    <row r="105" spans="1:23">
      <c r="A105" s="449"/>
      <c r="B105" s="274"/>
      <c r="C105" s="293" t="s">
        <v>106</v>
      </c>
      <c r="D105" s="64"/>
      <c r="E105" s="122">
        <f>E100+E104</f>
        <v>62</v>
      </c>
      <c r="F105" s="122">
        <f>F100+F104</f>
        <v>46</v>
      </c>
      <c r="G105" s="122">
        <f>G100+G104</f>
        <v>56.666666666666664</v>
      </c>
      <c r="H105" s="60">
        <f>H100+H104</f>
        <v>62</v>
      </c>
      <c r="I105" s="60">
        <f>I100+I104</f>
        <v>62</v>
      </c>
      <c r="J105" s="73" t="s">
        <v>104</v>
      </c>
      <c r="K105" s="207" t="s">
        <v>104</v>
      </c>
      <c r="L105" s="185" t="s">
        <v>104</v>
      </c>
      <c r="M105" s="74" t="s">
        <v>104</v>
      </c>
      <c r="N105" s="103">
        <f>SUM(N100:N104)</f>
        <v>3702999.8233333332</v>
      </c>
      <c r="O105" s="74">
        <f>SUM(O100:O104)</f>
        <v>2629941.1233333331</v>
      </c>
      <c r="P105" s="74">
        <f t="shared" ref="P105:U105" si="28">SUM(P100:P104)</f>
        <v>226779.43333333329</v>
      </c>
      <c r="Q105" s="74"/>
      <c r="R105" s="103">
        <f t="shared" si="28"/>
        <v>846279.2666666666</v>
      </c>
      <c r="S105" s="185"/>
      <c r="T105" s="185">
        <f t="shared" si="28"/>
        <v>3710892.7533333329</v>
      </c>
      <c r="U105" s="185">
        <f t="shared" si="28"/>
        <v>3710892.7533333329</v>
      </c>
      <c r="W105" s="192">
        <f>T115-W102</f>
        <v>-273175.92999999225</v>
      </c>
    </row>
    <row r="106" spans="1:23" ht="100.2" customHeight="1">
      <c r="A106" s="449"/>
      <c r="B106" s="137" t="s">
        <v>240</v>
      </c>
      <c r="C106" s="61" t="s">
        <v>187</v>
      </c>
      <c r="D106" s="64" t="s">
        <v>101</v>
      </c>
      <c r="E106" s="122">
        <v>843</v>
      </c>
      <c r="F106" s="122">
        <v>1429</v>
      </c>
      <c r="G106" s="123">
        <f t="shared" si="19"/>
        <v>1038.3333333333333</v>
      </c>
      <c r="H106" s="60">
        <v>1015</v>
      </c>
      <c r="I106" s="60">
        <v>1015</v>
      </c>
      <c r="J106" s="75">
        <f>K106</f>
        <v>3978.73</v>
      </c>
      <c r="K106" s="46">
        <v>3978.73</v>
      </c>
      <c r="L106" s="184" t="s">
        <v>104</v>
      </c>
      <c r="M106" s="72" t="s">
        <v>104</v>
      </c>
      <c r="N106" s="73">
        <f>SUM(O106:R106)</f>
        <v>4131247.9833333329</v>
      </c>
      <c r="O106" s="73">
        <f>K106*G106</f>
        <v>4131247.9833333329</v>
      </c>
      <c r="P106" s="73" t="s">
        <v>104</v>
      </c>
      <c r="Q106" s="73"/>
      <c r="R106" s="73" t="s">
        <v>104</v>
      </c>
      <c r="S106" s="207"/>
      <c r="T106" s="46">
        <f>H106*J106</f>
        <v>4038410.95</v>
      </c>
      <c r="U106" s="46">
        <f t="shared" ref="U106:U113" si="29">T106</f>
        <v>4038410.95</v>
      </c>
    </row>
    <row r="107" spans="1:23">
      <c r="A107" s="449"/>
      <c r="B107" s="69"/>
      <c r="C107" s="293" t="s">
        <v>106</v>
      </c>
      <c r="D107" s="69"/>
      <c r="E107" s="122">
        <f>SUM(E106:E106)</f>
        <v>843</v>
      </c>
      <c r="F107" s="122">
        <f>SUM(F106:F106)</f>
        <v>1429</v>
      </c>
      <c r="G107" s="122">
        <f>SUM(G106:G106)</f>
        <v>1038.3333333333333</v>
      </c>
      <c r="H107" s="60">
        <f>SUM(H106:H106)</f>
        <v>1015</v>
      </c>
      <c r="I107" s="60">
        <f>SUM(I106:I106)</f>
        <v>1015</v>
      </c>
      <c r="J107" s="73" t="s">
        <v>104</v>
      </c>
      <c r="K107" s="207" t="s">
        <v>104</v>
      </c>
      <c r="L107" s="185" t="s">
        <v>104</v>
      </c>
      <c r="M107" s="74">
        <f t="shared" ref="M107:R107" si="30">SUM(M106:M106)</f>
        <v>0</v>
      </c>
      <c r="N107" s="103">
        <f t="shared" si="30"/>
        <v>4131247.9833333329</v>
      </c>
      <c r="O107" s="74">
        <f>SUM(O106:O106)</f>
        <v>4131247.9833333329</v>
      </c>
      <c r="P107" s="74">
        <f t="shared" si="30"/>
        <v>0</v>
      </c>
      <c r="Q107" s="74"/>
      <c r="R107" s="74">
        <f t="shared" si="30"/>
        <v>0</v>
      </c>
      <c r="S107" s="185"/>
      <c r="T107" s="46">
        <f>N107</f>
        <v>4131247.9833333329</v>
      </c>
      <c r="U107" s="46">
        <f t="shared" si="29"/>
        <v>4131247.9833333329</v>
      </c>
    </row>
    <row r="108" spans="1:23" ht="13.95" hidden="1" customHeight="1">
      <c r="A108" s="449"/>
      <c r="B108" s="69" t="s">
        <v>283</v>
      </c>
      <c r="C108" s="181" t="s">
        <v>226</v>
      </c>
      <c r="D108" s="69"/>
      <c r="E108" s="122"/>
      <c r="F108" s="122"/>
      <c r="G108" s="122"/>
      <c r="H108" s="60"/>
      <c r="I108" s="60"/>
      <c r="J108" s="73"/>
      <c r="K108" s="207"/>
      <c r="L108" s="185"/>
      <c r="M108" s="74"/>
      <c r="N108" s="74">
        <f>P108</f>
        <v>0</v>
      </c>
      <c r="O108" s="74"/>
      <c r="P108" s="74"/>
      <c r="Q108" s="74"/>
      <c r="R108" s="74"/>
      <c r="S108" s="185"/>
      <c r="T108" s="46">
        <f>P108</f>
        <v>0</v>
      </c>
      <c r="U108" s="46">
        <f t="shared" si="29"/>
        <v>0</v>
      </c>
    </row>
    <row r="109" spans="1:23" ht="13.95" hidden="1" customHeight="1">
      <c r="A109" s="449"/>
      <c r="B109" s="89" t="s">
        <v>225</v>
      </c>
      <c r="C109" s="181" t="s">
        <v>219</v>
      </c>
      <c r="D109" s="64" t="s">
        <v>101</v>
      </c>
      <c r="E109" s="122">
        <v>12</v>
      </c>
      <c r="F109" s="122">
        <v>12</v>
      </c>
      <c r="G109" s="122">
        <v>12</v>
      </c>
      <c r="H109" s="60">
        <v>12</v>
      </c>
      <c r="I109" s="60">
        <v>12</v>
      </c>
      <c r="J109" s="73"/>
      <c r="K109" s="207"/>
      <c r="L109" s="185"/>
      <c r="M109" s="74"/>
      <c r="N109" s="74">
        <f>S109</f>
        <v>0</v>
      </c>
      <c r="O109" s="74"/>
      <c r="P109" s="74"/>
      <c r="Q109" s="74"/>
      <c r="R109" s="74"/>
      <c r="S109" s="185"/>
      <c r="T109" s="46">
        <f>S109</f>
        <v>0</v>
      </c>
      <c r="U109" s="46">
        <f t="shared" si="29"/>
        <v>0</v>
      </c>
    </row>
    <row r="110" spans="1:23" ht="13.95" hidden="1" customHeight="1">
      <c r="A110" s="449"/>
      <c r="B110" s="89" t="s">
        <v>225</v>
      </c>
      <c r="C110" s="181" t="s">
        <v>226</v>
      </c>
      <c r="D110" s="64" t="s">
        <v>101</v>
      </c>
      <c r="E110" s="122">
        <v>1</v>
      </c>
      <c r="F110" s="122">
        <v>1</v>
      </c>
      <c r="G110" s="122">
        <v>1</v>
      </c>
      <c r="H110" s="60">
        <v>1</v>
      </c>
      <c r="I110" s="60">
        <v>1</v>
      </c>
      <c r="J110" s="73"/>
      <c r="K110" s="207"/>
      <c r="L110" s="185"/>
      <c r="M110" s="74"/>
      <c r="N110" s="74">
        <f>Q110</f>
        <v>0</v>
      </c>
      <c r="O110" s="74"/>
      <c r="P110" s="74"/>
      <c r="Q110" s="74"/>
      <c r="R110" s="74"/>
      <c r="S110" s="185"/>
      <c r="T110" s="46"/>
      <c r="U110" s="46">
        <f t="shared" si="29"/>
        <v>0</v>
      </c>
      <c r="V110" s="192">
        <f>Q110-T110</f>
        <v>0</v>
      </c>
    </row>
    <row r="111" spans="1:23" ht="13.95" hidden="1" customHeight="1">
      <c r="A111" s="449"/>
      <c r="B111" s="89" t="s">
        <v>282</v>
      </c>
      <c r="C111" s="181" t="s">
        <v>219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/>
      <c r="U111" s="46"/>
    </row>
    <row r="112" spans="1:23">
      <c r="A112" s="449"/>
      <c r="B112" s="89" t="s">
        <v>289</v>
      </c>
      <c r="C112" s="181" t="s">
        <v>226</v>
      </c>
      <c r="D112" s="64"/>
      <c r="E112" s="122">
        <v>20</v>
      </c>
      <c r="F112" s="122">
        <v>21</v>
      </c>
      <c r="G112" s="122">
        <v>20</v>
      </c>
      <c r="H112" s="60">
        <v>20</v>
      </c>
      <c r="I112" s="60">
        <v>20</v>
      </c>
      <c r="J112" s="73"/>
      <c r="K112" s="207"/>
      <c r="L112" s="185"/>
      <c r="M112" s="74"/>
      <c r="N112" s="74">
        <f>O112</f>
        <v>2343600</v>
      </c>
      <c r="O112" s="74">
        <v>2343600</v>
      </c>
      <c r="P112" s="74"/>
      <c r="Q112" s="74"/>
      <c r="R112" s="74"/>
      <c r="S112" s="185"/>
      <c r="T112" s="46">
        <v>2343600</v>
      </c>
      <c r="U112" s="46">
        <f>T112</f>
        <v>2343600</v>
      </c>
    </row>
    <row r="113" spans="1:27" ht="13.95" hidden="1" customHeight="1">
      <c r="A113" s="449"/>
      <c r="B113" s="89" t="s">
        <v>257</v>
      </c>
      <c r="C113" s="181" t="s">
        <v>226</v>
      </c>
      <c r="D113" s="64"/>
      <c r="E113" s="122"/>
      <c r="F113" s="122"/>
      <c r="G113" s="122"/>
      <c r="H113" s="60"/>
      <c r="I113" s="60"/>
      <c r="J113" s="73"/>
      <c r="K113" s="207"/>
      <c r="L113" s="185"/>
      <c r="M113" s="74"/>
      <c r="N113" s="74">
        <f>O113+P113+Q113+R113+S113</f>
        <v>0</v>
      </c>
      <c r="O113" s="74"/>
      <c r="P113" s="74"/>
      <c r="Q113" s="74"/>
      <c r="R113" s="74"/>
      <c r="S113" s="185"/>
      <c r="T113" s="46">
        <f>O113</f>
        <v>0</v>
      </c>
      <c r="U113" s="46">
        <f t="shared" si="29"/>
        <v>0</v>
      </c>
    </row>
    <row r="114" spans="1:27" ht="13.95" hidden="1" customHeight="1">
      <c r="A114" s="449"/>
      <c r="B114" s="89" t="s">
        <v>290</v>
      </c>
      <c r="C114" s="181" t="s">
        <v>226</v>
      </c>
      <c r="D114" s="64"/>
      <c r="E114" s="122"/>
      <c r="F114" s="122"/>
      <c r="G114" s="122"/>
      <c r="H114" s="60"/>
      <c r="I114" s="60"/>
      <c r="J114" s="73"/>
      <c r="K114" s="207"/>
      <c r="L114" s="185"/>
      <c r="M114" s="74"/>
      <c r="N114" s="74">
        <f>P114</f>
        <v>0</v>
      </c>
      <c r="O114" s="74"/>
      <c r="P114" s="74"/>
      <c r="Q114" s="74"/>
      <c r="R114" s="74"/>
      <c r="S114" s="185"/>
      <c r="T114" s="46"/>
      <c r="U114" s="46">
        <f>T114</f>
        <v>0</v>
      </c>
    </row>
    <row r="115" spans="1:27">
      <c r="A115" s="449"/>
      <c r="B115" s="101" t="s">
        <v>112</v>
      </c>
      <c r="C115" s="101"/>
      <c r="D115" s="69"/>
      <c r="E115" s="214">
        <f>E92+E99+E105</f>
        <v>528</v>
      </c>
      <c r="F115" s="102">
        <f>F92+F99+F105</f>
        <v>545</v>
      </c>
      <c r="G115" s="214">
        <f>G92+G99+G105</f>
        <v>533.66666666666663</v>
      </c>
      <c r="H115" s="102">
        <f>H92+H99+H105</f>
        <v>528</v>
      </c>
      <c r="I115" s="102">
        <f>I92+I99+I105</f>
        <v>528</v>
      </c>
      <c r="J115" s="104"/>
      <c r="K115" s="221"/>
      <c r="L115" s="138"/>
      <c r="M115" s="103"/>
      <c r="N115" s="103">
        <f>SUM(O115:S115)</f>
        <v>35352631.859999999</v>
      </c>
      <c r="O115" s="103">
        <f>O92+O99+O105+O107+O112+O113</f>
        <v>25486800.390000001</v>
      </c>
      <c r="P115" s="103">
        <f>P92+P99+P105+P107+P108+P109+P110+P114</f>
        <v>2135728.6633333331</v>
      </c>
      <c r="Q115" s="103">
        <f>Q92+Q99+Q105+Q107+Q108+Q109+Q110</f>
        <v>0</v>
      </c>
      <c r="R115" s="103">
        <f>R92+R99+R105+R107+R108+R109+R110+R111</f>
        <v>7730102.8066666657</v>
      </c>
      <c r="S115" s="138">
        <f>S92+S99+S105+S107+S108+S109+S110+S111</f>
        <v>0</v>
      </c>
      <c r="T115" s="138">
        <f>T92+T99+T105+T107+T108+T109+T110+T111+T112+T113+T114</f>
        <v>35307500.540000007</v>
      </c>
      <c r="U115" s="138">
        <f>U92+U99+U105+U107+U108+U109+U110+U111+U112+U113+U114</f>
        <v>35307500.540000007</v>
      </c>
      <c r="V115" s="192">
        <v>6249649.4699999997</v>
      </c>
      <c r="W115" s="192">
        <f>V115-R115</f>
        <v>-1480453.336666666</v>
      </c>
      <c r="X115" s="182">
        <f>W115/535</f>
        <v>-2767.2024984423665</v>
      </c>
      <c r="Z115" s="192"/>
      <c r="AA115" s="192"/>
    </row>
    <row r="116" spans="1:27" ht="82.95" customHeight="1">
      <c r="A116" s="449" t="s">
        <v>115</v>
      </c>
      <c r="B116" s="450" t="s">
        <v>237</v>
      </c>
      <c r="C116" s="61" t="s">
        <v>100</v>
      </c>
      <c r="D116" s="62" t="s">
        <v>101</v>
      </c>
      <c r="E116" s="123">
        <v>217</v>
      </c>
      <c r="F116" s="123">
        <v>203</v>
      </c>
      <c r="G116" s="123">
        <f>((E116*8)+(F116*4))/12</f>
        <v>212.33333333333334</v>
      </c>
      <c r="H116" s="59">
        <v>217</v>
      </c>
      <c r="I116" s="59">
        <v>217</v>
      </c>
      <c r="J116" s="107">
        <f>SUM(K116:M116)</f>
        <v>42926.31</v>
      </c>
      <c r="K116" s="220">
        <f>23258.45+1351.63</f>
        <v>24610.080000000002</v>
      </c>
      <c r="L116" s="211">
        <f>4001.99</f>
        <v>4001.99</v>
      </c>
      <c r="M116" s="70">
        <v>14314.24</v>
      </c>
      <c r="N116" s="71">
        <f>SUM(O116:R116)</f>
        <v>9114686.8200000003</v>
      </c>
      <c r="O116" s="71">
        <f>G116*K116</f>
        <v>5225540.32</v>
      </c>
      <c r="P116" s="71">
        <f>G116*L116</f>
        <v>849755.87666666671</v>
      </c>
      <c r="Q116" s="71"/>
      <c r="R116" s="75">
        <f>G116*M116+0.33</f>
        <v>3039390.6233333335</v>
      </c>
      <c r="S116" s="46"/>
      <c r="T116" s="46">
        <f>N116</f>
        <v>9114686.8200000003</v>
      </c>
      <c r="U116" s="46">
        <f>T116</f>
        <v>9114686.8200000003</v>
      </c>
    </row>
    <row r="117" spans="1:27" ht="82.8">
      <c r="A117" s="449"/>
      <c r="B117" s="450"/>
      <c r="C117" s="63" t="s">
        <v>163</v>
      </c>
      <c r="D117" s="64" t="s">
        <v>101</v>
      </c>
      <c r="E117" s="123" t="s">
        <v>104</v>
      </c>
      <c r="F117" s="123" t="s">
        <v>104</v>
      </c>
      <c r="G117" s="123" t="s">
        <v>104</v>
      </c>
      <c r="H117" s="59" t="s">
        <v>104</v>
      </c>
      <c r="I117" s="59" t="s">
        <v>104</v>
      </c>
      <c r="J117" s="59" t="s">
        <v>104</v>
      </c>
      <c r="K117" s="123" t="s">
        <v>104</v>
      </c>
      <c r="L117" s="123" t="s">
        <v>104</v>
      </c>
      <c r="M117" s="59" t="s">
        <v>104</v>
      </c>
      <c r="N117" s="71"/>
      <c r="O117" s="71"/>
      <c r="P117" s="59" t="s">
        <v>104</v>
      </c>
      <c r="Q117" s="59"/>
      <c r="R117" s="59" t="s">
        <v>104</v>
      </c>
      <c r="S117" s="123"/>
      <c r="T117" s="46"/>
      <c r="U117" s="46"/>
    </row>
    <row r="118" spans="1:27">
      <c r="A118" s="449"/>
      <c r="B118" s="450"/>
      <c r="C118" s="63" t="s">
        <v>164</v>
      </c>
      <c r="D118" s="64" t="s">
        <v>101</v>
      </c>
      <c r="E118" s="123"/>
      <c r="F118" s="123"/>
      <c r="G118" s="123"/>
      <c r="H118" s="59"/>
      <c r="I118" s="59"/>
      <c r="J118" s="75">
        <f t="shared" ref="J118:J124" si="31">K118</f>
        <v>25714.959999999999</v>
      </c>
      <c r="K118" s="205">
        <v>25714.959999999999</v>
      </c>
      <c r="L118" s="123" t="s">
        <v>104</v>
      </c>
      <c r="M118" s="59" t="s">
        <v>104</v>
      </c>
      <c r="N118" s="71">
        <f t="shared" ref="N118:N124" si="32">O118</f>
        <v>0</v>
      </c>
      <c r="O118" s="71">
        <f>G118*K118</f>
        <v>0</v>
      </c>
      <c r="P118" s="59" t="s">
        <v>104</v>
      </c>
      <c r="Q118" s="59"/>
      <c r="R118" s="59" t="s">
        <v>104</v>
      </c>
      <c r="S118" s="123"/>
      <c r="T118" s="46">
        <f t="shared" ref="T118:T124" si="33">H118*K118</f>
        <v>0</v>
      </c>
      <c r="U118" s="46">
        <f t="shared" ref="U118:U124" si="34">I118*K118</f>
        <v>0</v>
      </c>
    </row>
    <row r="119" spans="1:27">
      <c r="A119" s="449"/>
      <c r="B119" s="450"/>
      <c r="C119" s="63" t="s">
        <v>169</v>
      </c>
      <c r="D119" s="64" t="s">
        <v>101</v>
      </c>
      <c r="E119" s="123">
        <v>11</v>
      </c>
      <c r="F119" s="123">
        <v>5</v>
      </c>
      <c r="G119" s="123">
        <f t="shared" ref="G119:G136" si="35">((E119*8)+(F119*4))/12</f>
        <v>9</v>
      </c>
      <c r="H119" s="59">
        <v>11</v>
      </c>
      <c r="I119" s="59">
        <v>11</v>
      </c>
      <c r="J119" s="75">
        <f t="shared" si="31"/>
        <v>69482.740000000005</v>
      </c>
      <c r="K119" s="205">
        <v>69482.740000000005</v>
      </c>
      <c r="L119" s="123" t="s">
        <v>104</v>
      </c>
      <c r="M119" s="59" t="s">
        <v>104</v>
      </c>
      <c r="N119" s="71">
        <f t="shared" si="32"/>
        <v>625344.66</v>
      </c>
      <c r="O119" s="71">
        <f t="shared" ref="O119:O124" si="36">G119*K119</f>
        <v>625344.66</v>
      </c>
      <c r="P119" s="59" t="s">
        <v>104</v>
      </c>
      <c r="Q119" s="59"/>
      <c r="R119" s="59" t="s">
        <v>104</v>
      </c>
      <c r="S119" s="123"/>
      <c r="T119" s="46">
        <f t="shared" si="33"/>
        <v>764310.14</v>
      </c>
      <c r="U119" s="46">
        <f t="shared" si="34"/>
        <v>764310.14</v>
      </c>
    </row>
    <row r="120" spans="1:27">
      <c r="A120" s="449"/>
      <c r="B120" s="450"/>
      <c r="C120" s="63" t="s">
        <v>165</v>
      </c>
      <c r="D120" s="64" t="s">
        <v>101</v>
      </c>
      <c r="E120" s="123">
        <v>1</v>
      </c>
      <c r="F120" s="123">
        <v>4</v>
      </c>
      <c r="G120" s="123">
        <f t="shared" si="35"/>
        <v>2</v>
      </c>
      <c r="H120" s="59">
        <v>1</v>
      </c>
      <c r="I120" s="59">
        <v>1</v>
      </c>
      <c r="J120" s="75">
        <f t="shared" si="31"/>
        <v>92591.35</v>
      </c>
      <c r="K120" s="205">
        <v>92591.35</v>
      </c>
      <c r="L120" s="123" t="s">
        <v>104</v>
      </c>
      <c r="M120" s="59" t="s">
        <v>104</v>
      </c>
      <c r="N120" s="71">
        <f t="shared" si="32"/>
        <v>185182.7</v>
      </c>
      <c r="O120" s="71">
        <f t="shared" si="36"/>
        <v>185182.7</v>
      </c>
      <c r="P120" s="59" t="s">
        <v>104</v>
      </c>
      <c r="Q120" s="59"/>
      <c r="R120" s="59" t="s">
        <v>104</v>
      </c>
      <c r="S120" s="123"/>
      <c r="T120" s="46">
        <f t="shared" si="33"/>
        <v>92591.35</v>
      </c>
      <c r="U120" s="46">
        <f t="shared" si="34"/>
        <v>92591.35</v>
      </c>
    </row>
    <row r="121" spans="1:27">
      <c r="A121" s="449"/>
      <c r="B121" s="450"/>
      <c r="C121" s="63" t="s">
        <v>166</v>
      </c>
      <c r="D121" s="64" t="s">
        <v>101</v>
      </c>
      <c r="E121" s="123">
        <v>16</v>
      </c>
      <c r="F121" s="123">
        <v>16</v>
      </c>
      <c r="G121" s="123">
        <f t="shared" si="35"/>
        <v>16</v>
      </c>
      <c r="H121" s="59">
        <v>16</v>
      </c>
      <c r="I121" s="59">
        <v>16</v>
      </c>
      <c r="J121" s="75">
        <f t="shared" si="31"/>
        <v>66481.399999999994</v>
      </c>
      <c r="K121" s="46">
        <v>66481.399999999994</v>
      </c>
      <c r="L121" s="123" t="s">
        <v>104</v>
      </c>
      <c r="M121" s="59" t="s">
        <v>104</v>
      </c>
      <c r="N121" s="71">
        <f t="shared" si="32"/>
        <v>1063702.3999999999</v>
      </c>
      <c r="O121" s="71">
        <f t="shared" si="36"/>
        <v>1063702.3999999999</v>
      </c>
      <c r="P121" s="59" t="s">
        <v>104</v>
      </c>
      <c r="Q121" s="59"/>
      <c r="R121" s="59" t="s">
        <v>104</v>
      </c>
      <c r="S121" s="123"/>
      <c r="T121" s="46">
        <f t="shared" si="33"/>
        <v>1063702.3999999999</v>
      </c>
      <c r="U121" s="46">
        <f t="shared" si="34"/>
        <v>1063702.3999999999</v>
      </c>
    </row>
    <row r="122" spans="1:27">
      <c r="A122" s="449"/>
      <c r="B122" s="450"/>
      <c r="C122" s="63" t="s">
        <v>167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174992.98</v>
      </c>
      <c r="K122" s="46">
        <v>174992.98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>
      <c r="A123" s="449"/>
      <c r="B123" s="450"/>
      <c r="C123" s="63" t="s">
        <v>170</v>
      </c>
      <c r="D123" s="64" t="s">
        <v>101</v>
      </c>
      <c r="E123" s="123">
        <v>1</v>
      </c>
      <c r="F123" s="123">
        <v>1</v>
      </c>
      <c r="G123" s="123">
        <f t="shared" si="35"/>
        <v>1</v>
      </c>
      <c r="H123" s="59">
        <v>1</v>
      </c>
      <c r="I123" s="59">
        <v>1</v>
      </c>
      <c r="J123" s="75">
        <f t="shared" si="31"/>
        <v>99770.92</v>
      </c>
      <c r="K123" s="46">
        <v>99770.92</v>
      </c>
      <c r="L123" s="123" t="s">
        <v>104</v>
      </c>
      <c r="M123" s="59" t="s">
        <v>104</v>
      </c>
      <c r="N123" s="71">
        <f t="shared" si="32"/>
        <v>99770.92</v>
      </c>
      <c r="O123" s="71">
        <f t="shared" si="36"/>
        <v>99770.92</v>
      </c>
      <c r="P123" s="59" t="s">
        <v>104</v>
      </c>
      <c r="Q123" s="59"/>
      <c r="R123" s="59" t="s">
        <v>104</v>
      </c>
      <c r="S123" s="123"/>
      <c r="T123" s="46">
        <f t="shared" si="33"/>
        <v>99770.92</v>
      </c>
      <c r="U123" s="46">
        <f t="shared" si="34"/>
        <v>99770.92</v>
      </c>
    </row>
    <row r="124" spans="1:27">
      <c r="A124" s="449"/>
      <c r="B124" s="450"/>
      <c r="C124" s="63" t="s">
        <v>168</v>
      </c>
      <c r="D124" s="64" t="s">
        <v>101</v>
      </c>
      <c r="E124" s="123"/>
      <c r="F124" s="123"/>
      <c r="G124" s="123">
        <f t="shared" si="35"/>
        <v>0</v>
      </c>
      <c r="H124" s="59"/>
      <c r="I124" s="59"/>
      <c r="J124" s="75">
        <f t="shared" si="31"/>
        <v>23678.79</v>
      </c>
      <c r="K124" s="46">
        <v>23678.79</v>
      </c>
      <c r="L124" s="123" t="s">
        <v>104</v>
      </c>
      <c r="M124" s="59" t="s">
        <v>104</v>
      </c>
      <c r="N124" s="71">
        <f t="shared" si="32"/>
        <v>0</v>
      </c>
      <c r="O124" s="71">
        <f t="shared" si="36"/>
        <v>0</v>
      </c>
      <c r="P124" s="59" t="s">
        <v>104</v>
      </c>
      <c r="Q124" s="59"/>
      <c r="R124" s="59" t="s">
        <v>104</v>
      </c>
      <c r="S124" s="123"/>
      <c r="T124" s="46">
        <f t="shared" si="33"/>
        <v>0</v>
      </c>
      <c r="U124" s="46">
        <f t="shared" si="34"/>
        <v>0</v>
      </c>
    </row>
    <row r="125" spans="1:27" ht="85.2" customHeight="1">
      <c r="A125" s="449"/>
      <c r="B125" s="450"/>
      <c r="C125" s="61" t="s">
        <v>105</v>
      </c>
      <c r="D125" s="64" t="s">
        <v>101</v>
      </c>
      <c r="E125" s="123">
        <v>5</v>
      </c>
      <c r="F125" s="123">
        <v>3</v>
      </c>
      <c r="G125" s="123">
        <f t="shared" si="35"/>
        <v>4.333333333333333</v>
      </c>
      <c r="H125" s="59">
        <v>5</v>
      </c>
      <c r="I125" s="59">
        <v>5</v>
      </c>
      <c r="J125" s="75">
        <f>SUM(K125:M125)</f>
        <v>141179.59</v>
      </c>
      <c r="K125" s="46">
        <f>121511.73+1351.63</f>
        <v>122863.36</v>
      </c>
      <c r="L125" s="211">
        <f>4001.99</f>
        <v>4001.99</v>
      </c>
      <c r="M125" s="70">
        <v>14314.24</v>
      </c>
      <c r="N125" s="71">
        <f>SUM(O125:R125)</f>
        <v>611778.22333333327</v>
      </c>
      <c r="O125" s="71">
        <f>G125*K125</f>
        <v>532407.89333333331</v>
      </c>
      <c r="P125" s="71">
        <f>G125*L125</f>
        <v>17341.956666666665</v>
      </c>
      <c r="Q125" s="71"/>
      <c r="R125" s="75">
        <f>G125*M125</f>
        <v>62028.373333333329</v>
      </c>
      <c r="S125" s="46"/>
      <c r="T125" s="46">
        <f>N125</f>
        <v>611778.22333333327</v>
      </c>
      <c r="U125" s="46">
        <f>T125</f>
        <v>611778.22333333327</v>
      </c>
    </row>
    <row r="126" spans="1:27">
      <c r="A126" s="449"/>
      <c r="B126" s="450"/>
      <c r="C126" s="293" t="s">
        <v>106</v>
      </c>
      <c r="D126" s="67"/>
      <c r="E126" s="123">
        <f>E116+E125</f>
        <v>222</v>
      </c>
      <c r="F126" s="123">
        <f>F116+F125</f>
        <v>206</v>
      </c>
      <c r="G126" s="123">
        <f>G116+G125</f>
        <v>216.66666666666669</v>
      </c>
      <c r="H126" s="59">
        <f>H116+H125</f>
        <v>222</v>
      </c>
      <c r="I126" s="59">
        <f>I116+I125</f>
        <v>222</v>
      </c>
      <c r="J126" s="71" t="s">
        <v>104</v>
      </c>
      <c r="K126" s="205" t="s">
        <v>104</v>
      </c>
      <c r="L126" s="205" t="s">
        <v>104</v>
      </c>
      <c r="M126" s="71" t="s">
        <v>104</v>
      </c>
      <c r="N126" s="118">
        <f>SUM(N116:N125)</f>
        <v>11700465.723333333</v>
      </c>
      <c r="O126" s="71">
        <f>SUM(O116:O125)</f>
        <v>7731948.8933333335</v>
      </c>
      <c r="P126" s="71">
        <f>SUM(P116:P125)</f>
        <v>867097.83333333337</v>
      </c>
      <c r="Q126" s="71"/>
      <c r="R126" s="118">
        <f>SUM(R116:R125)</f>
        <v>3101418.9966666671</v>
      </c>
      <c r="S126" s="205"/>
      <c r="T126" s="205">
        <f>SUM(T116:T125)</f>
        <v>11746839.853333334</v>
      </c>
      <c r="U126" s="205">
        <f>T126</f>
        <v>11746839.853333334</v>
      </c>
    </row>
    <row r="127" spans="1:27" ht="82.95" customHeight="1">
      <c r="A127" s="449"/>
      <c r="B127" s="450" t="s">
        <v>238</v>
      </c>
      <c r="C127" s="61" t="s">
        <v>100</v>
      </c>
      <c r="D127" s="62" t="s">
        <v>101</v>
      </c>
      <c r="E127" s="123">
        <v>252</v>
      </c>
      <c r="F127" s="123">
        <v>242</v>
      </c>
      <c r="G127" s="123">
        <f t="shared" si="35"/>
        <v>248.66666666666666</v>
      </c>
      <c r="H127" s="59">
        <v>252</v>
      </c>
      <c r="I127" s="59">
        <v>252</v>
      </c>
      <c r="J127" s="107">
        <f>SUM(K127:M127)</f>
        <v>54702.01</v>
      </c>
      <c r="K127" s="220">
        <f>34483.05+1649.65</f>
        <v>36132.700000000004</v>
      </c>
      <c r="L127" s="211">
        <f>4001.99</f>
        <v>4001.99</v>
      </c>
      <c r="M127" s="70">
        <v>14567.32</v>
      </c>
      <c r="N127" s="71">
        <f>SUM(O127:R127)</f>
        <v>13602566.486666668</v>
      </c>
      <c r="O127" s="71">
        <f>G127*K127</f>
        <v>8984998.0666666683</v>
      </c>
      <c r="P127" s="71">
        <f>G127*L127</f>
        <v>995161.51333333319</v>
      </c>
      <c r="Q127" s="71"/>
      <c r="R127" s="75">
        <f>G127*M127</f>
        <v>3622406.9066666663</v>
      </c>
      <c r="S127" s="46"/>
      <c r="T127" s="46">
        <f>N127</f>
        <v>13602566.486666668</v>
      </c>
      <c r="U127" s="46">
        <f>T127</f>
        <v>13602566.486666668</v>
      </c>
    </row>
    <row r="128" spans="1:27" ht="82.8">
      <c r="A128" s="449"/>
      <c r="B128" s="450"/>
      <c r="C128" s="63" t="s">
        <v>163</v>
      </c>
      <c r="D128" s="64" t="s">
        <v>101</v>
      </c>
      <c r="E128" s="123" t="s">
        <v>104</v>
      </c>
      <c r="F128" s="123" t="s">
        <v>104</v>
      </c>
      <c r="G128" s="123" t="s">
        <v>104</v>
      </c>
      <c r="H128" s="59" t="s">
        <v>104</v>
      </c>
      <c r="I128" s="59" t="s">
        <v>104</v>
      </c>
      <c r="J128" s="59" t="s">
        <v>104</v>
      </c>
      <c r="K128" s="123" t="s">
        <v>104</v>
      </c>
      <c r="L128" s="123" t="s">
        <v>104</v>
      </c>
      <c r="M128" s="59" t="s">
        <v>104</v>
      </c>
      <c r="N128" s="71"/>
      <c r="O128" s="71"/>
      <c r="P128" s="59" t="s">
        <v>104</v>
      </c>
      <c r="Q128" s="59"/>
      <c r="R128" s="59" t="s">
        <v>104</v>
      </c>
      <c r="S128" s="123"/>
      <c r="T128" s="46"/>
      <c r="U128" s="46"/>
    </row>
    <row r="129" spans="1:23">
      <c r="A129" s="449"/>
      <c r="B129" s="450"/>
      <c r="C129" s="63" t="s">
        <v>164</v>
      </c>
      <c r="D129" s="64" t="s">
        <v>101</v>
      </c>
      <c r="E129" s="122">
        <v>1</v>
      </c>
      <c r="F129" s="122"/>
      <c r="G129" s="123">
        <f t="shared" si="35"/>
        <v>0.66666666666666663</v>
      </c>
      <c r="H129" s="60">
        <v>1</v>
      </c>
      <c r="I129" s="60">
        <v>1</v>
      </c>
      <c r="J129" s="75">
        <f>K129</f>
        <v>25714.959999999999</v>
      </c>
      <c r="K129" s="46">
        <v>25714.959999999999</v>
      </c>
      <c r="L129" s="123" t="s">
        <v>104</v>
      </c>
      <c r="M129" s="59" t="s">
        <v>104</v>
      </c>
      <c r="N129" s="71">
        <f>O129</f>
        <v>17143.306666666664</v>
      </c>
      <c r="O129" s="71">
        <f>G129*K129</f>
        <v>17143.306666666664</v>
      </c>
      <c r="P129" s="59" t="s">
        <v>104</v>
      </c>
      <c r="Q129" s="59"/>
      <c r="R129" s="59" t="s">
        <v>104</v>
      </c>
      <c r="S129" s="123"/>
      <c r="T129" s="46">
        <f>H129*K129</f>
        <v>25714.959999999999</v>
      </c>
      <c r="U129" s="46">
        <f>I129*K129</f>
        <v>25714.959999999999</v>
      </c>
    </row>
    <row r="130" spans="1:23">
      <c r="A130" s="449"/>
      <c r="B130" s="450"/>
      <c r="C130" s="63" t="s">
        <v>165</v>
      </c>
      <c r="D130" s="64" t="s">
        <v>101</v>
      </c>
      <c r="E130" s="122">
        <v>2</v>
      </c>
      <c r="F130" s="122"/>
      <c r="G130" s="123">
        <f t="shared" si="35"/>
        <v>1.3333333333333333</v>
      </c>
      <c r="H130" s="60">
        <v>2</v>
      </c>
      <c r="I130" s="60">
        <v>2</v>
      </c>
      <c r="J130" s="75">
        <f>K130</f>
        <v>92591.35</v>
      </c>
      <c r="K130" s="46">
        <v>92591.35</v>
      </c>
      <c r="L130" s="123" t="s">
        <v>104</v>
      </c>
      <c r="M130" s="59" t="s">
        <v>104</v>
      </c>
      <c r="N130" s="71">
        <f>O130</f>
        <v>123455.13333333333</v>
      </c>
      <c r="O130" s="71">
        <f t="shared" ref="O130:O133" si="37">G130*K130</f>
        <v>123455.13333333333</v>
      </c>
      <c r="P130" s="59" t="s">
        <v>104</v>
      </c>
      <c r="Q130" s="59"/>
      <c r="R130" s="59" t="s">
        <v>104</v>
      </c>
      <c r="S130" s="123"/>
      <c r="T130" s="46">
        <f>H130*K130</f>
        <v>185182.7</v>
      </c>
      <c r="U130" s="46">
        <f>I130*K130</f>
        <v>185182.7</v>
      </c>
    </row>
    <row r="131" spans="1:23">
      <c r="A131" s="449"/>
      <c r="B131" s="450"/>
      <c r="C131" s="63" t="s">
        <v>167</v>
      </c>
      <c r="D131" s="64" t="s">
        <v>101</v>
      </c>
      <c r="E131" s="122">
        <v>1</v>
      </c>
      <c r="F131" s="122">
        <v>2</v>
      </c>
      <c r="G131" s="123">
        <f t="shared" si="35"/>
        <v>1.3333333333333333</v>
      </c>
      <c r="H131" s="60">
        <v>1</v>
      </c>
      <c r="I131" s="60">
        <v>1</v>
      </c>
      <c r="J131" s="75">
        <f>K131</f>
        <v>264803.59999999998</v>
      </c>
      <c r="K131" s="46">
        <v>264803.59999999998</v>
      </c>
      <c r="L131" s="123" t="s">
        <v>104</v>
      </c>
      <c r="M131" s="59" t="s">
        <v>104</v>
      </c>
      <c r="N131" s="71">
        <f>O131</f>
        <v>353071.46666666662</v>
      </c>
      <c r="O131" s="71">
        <f t="shared" si="37"/>
        <v>353071.46666666662</v>
      </c>
      <c r="P131" s="59" t="s">
        <v>104</v>
      </c>
      <c r="Q131" s="59"/>
      <c r="R131" s="59"/>
      <c r="S131" s="123"/>
      <c r="T131" s="46">
        <f>H131*K131</f>
        <v>264803.59999999998</v>
      </c>
      <c r="U131" s="46">
        <f>I131*K131</f>
        <v>264803.59999999998</v>
      </c>
    </row>
    <row r="132" spans="1:23">
      <c r="A132" s="449"/>
      <c r="B132" s="450"/>
      <c r="C132" s="63" t="s">
        <v>170</v>
      </c>
      <c r="D132" s="64" t="s">
        <v>101</v>
      </c>
      <c r="E132" s="122"/>
      <c r="F132" s="122"/>
      <c r="G132" s="123">
        <f t="shared" si="35"/>
        <v>0</v>
      </c>
      <c r="H132" s="60"/>
      <c r="I132" s="60"/>
      <c r="J132" s="75">
        <f>K132</f>
        <v>32894.53</v>
      </c>
      <c r="K132" s="46">
        <v>32894.53</v>
      </c>
      <c r="L132" s="123" t="s">
        <v>104</v>
      </c>
      <c r="M132" s="59" t="s">
        <v>104</v>
      </c>
      <c r="N132" s="71">
        <f>O132</f>
        <v>0</v>
      </c>
      <c r="O132" s="71">
        <f t="shared" si="37"/>
        <v>0</v>
      </c>
      <c r="P132" s="59" t="s">
        <v>104</v>
      </c>
      <c r="Q132" s="59"/>
      <c r="R132" s="59"/>
      <c r="S132" s="123"/>
      <c r="T132" s="46">
        <f>H132*K132</f>
        <v>0</v>
      </c>
      <c r="U132" s="46">
        <f>I132*K132</f>
        <v>0</v>
      </c>
    </row>
    <row r="133" spans="1:23">
      <c r="A133" s="449"/>
      <c r="B133" s="450"/>
      <c r="C133" s="63" t="s">
        <v>168</v>
      </c>
      <c r="D133" s="64" t="s">
        <v>101</v>
      </c>
      <c r="E133" s="122">
        <v>1</v>
      </c>
      <c r="F133" s="122">
        <v>1</v>
      </c>
      <c r="G133" s="123">
        <f t="shared" si="35"/>
        <v>1</v>
      </c>
      <c r="H133" s="60">
        <v>1</v>
      </c>
      <c r="I133" s="60">
        <v>1</v>
      </c>
      <c r="J133" s="75">
        <f>K133</f>
        <v>23678.79</v>
      </c>
      <c r="K133" s="46">
        <v>23678.79</v>
      </c>
      <c r="L133" s="123" t="s">
        <v>104</v>
      </c>
      <c r="M133" s="59" t="s">
        <v>104</v>
      </c>
      <c r="N133" s="71">
        <f>O133</f>
        <v>23678.79</v>
      </c>
      <c r="O133" s="71">
        <f t="shared" si="37"/>
        <v>23678.79</v>
      </c>
      <c r="P133" s="59" t="s">
        <v>104</v>
      </c>
      <c r="Q133" s="59"/>
      <c r="R133" s="59" t="s">
        <v>104</v>
      </c>
      <c r="S133" s="123"/>
      <c r="T133" s="46">
        <f>H133*K133</f>
        <v>23678.79</v>
      </c>
      <c r="U133" s="46">
        <f>I133*K133</f>
        <v>23678.79</v>
      </c>
    </row>
    <row r="134" spans="1:23" ht="82.8">
      <c r="A134" s="449"/>
      <c r="B134" s="450"/>
      <c r="C134" s="61" t="s">
        <v>105</v>
      </c>
      <c r="D134" s="64" t="s">
        <v>101</v>
      </c>
      <c r="E134" s="122">
        <v>2</v>
      </c>
      <c r="F134" s="122">
        <v>3</v>
      </c>
      <c r="G134" s="123">
        <f t="shared" si="35"/>
        <v>2.3333333333333335</v>
      </c>
      <c r="H134" s="60">
        <v>2</v>
      </c>
      <c r="I134" s="60">
        <v>2</v>
      </c>
      <c r="J134" s="75">
        <f>SUM(K134:M134)</f>
        <v>171714.25</v>
      </c>
      <c r="K134" s="46">
        <f>151495.29+1649.65</f>
        <v>153144.94</v>
      </c>
      <c r="L134" s="211">
        <f>4001.99</f>
        <v>4001.99</v>
      </c>
      <c r="M134" s="70">
        <v>14567.32</v>
      </c>
      <c r="N134" s="73">
        <f>SUM(O134:R134)</f>
        <v>400666.58333333337</v>
      </c>
      <c r="O134" s="71">
        <f>G134*K134</f>
        <v>357338.19333333336</v>
      </c>
      <c r="P134" s="73">
        <f>G134*L134</f>
        <v>9337.9766666666674</v>
      </c>
      <c r="Q134" s="73"/>
      <c r="R134" s="75">
        <f>G134*M134</f>
        <v>33990.413333333338</v>
      </c>
      <c r="S134" s="46"/>
      <c r="T134" s="46">
        <f>N134</f>
        <v>400666.58333333337</v>
      </c>
      <c r="U134" s="46">
        <f>T134</f>
        <v>400666.58333333337</v>
      </c>
    </row>
    <row r="135" spans="1:23">
      <c r="A135" s="449"/>
      <c r="B135" s="274"/>
      <c r="C135" s="293" t="s">
        <v>106</v>
      </c>
      <c r="D135" s="64"/>
      <c r="E135" s="122">
        <f>E127+E134</f>
        <v>254</v>
      </c>
      <c r="F135" s="122">
        <f>F127+F134</f>
        <v>245</v>
      </c>
      <c r="G135" s="122">
        <f>G127+G134</f>
        <v>251</v>
      </c>
      <c r="H135" s="60">
        <f>H127+H134</f>
        <v>254</v>
      </c>
      <c r="I135" s="60">
        <f>I127+I134</f>
        <v>254</v>
      </c>
      <c r="J135" s="73" t="s">
        <v>104</v>
      </c>
      <c r="K135" s="207" t="s">
        <v>104</v>
      </c>
      <c r="L135" s="207" t="s">
        <v>104</v>
      </c>
      <c r="M135" s="73" t="s">
        <v>104</v>
      </c>
      <c r="N135" s="103">
        <f>SUM(N127:N134)</f>
        <v>14520581.766666668</v>
      </c>
      <c r="O135" s="74">
        <f>SUM(O127:O134)</f>
        <v>9859684.956666667</v>
      </c>
      <c r="P135" s="74">
        <f>SUM(P127:P134)</f>
        <v>1004499.4899999999</v>
      </c>
      <c r="Q135" s="74"/>
      <c r="R135" s="103">
        <f>SUM(R127:R134)</f>
        <v>3656397.32</v>
      </c>
      <c r="S135" s="185"/>
      <c r="T135" s="185">
        <f>SUM(T127:T134)</f>
        <v>14502613.120000001</v>
      </c>
      <c r="U135" s="185">
        <f>SUM(U127:U134)</f>
        <v>14502613.120000001</v>
      </c>
    </row>
    <row r="136" spans="1:23" ht="82.95" customHeight="1">
      <c r="A136" s="449"/>
      <c r="B136" s="450" t="s">
        <v>239</v>
      </c>
      <c r="C136" s="61" t="s">
        <v>100</v>
      </c>
      <c r="D136" s="62" t="s">
        <v>101</v>
      </c>
      <c r="E136" s="122">
        <v>34</v>
      </c>
      <c r="F136" s="122">
        <v>28</v>
      </c>
      <c r="G136" s="123">
        <f t="shared" si="35"/>
        <v>32</v>
      </c>
      <c r="H136" s="60">
        <v>34</v>
      </c>
      <c r="I136" s="60">
        <v>34</v>
      </c>
      <c r="J136" s="107">
        <f>SUM(K136:M136)</f>
        <v>62175.83</v>
      </c>
      <c r="K136" s="220">
        <f>41240.72+1998.78</f>
        <v>43239.5</v>
      </c>
      <c r="L136" s="211">
        <f>4001.99</f>
        <v>4001.99</v>
      </c>
      <c r="M136" s="70">
        <v>14934.34</v>
      </c>
      <c r="N136" s="73">
        <f>SUM(O136:R136)</f>
        <v>1989626.56</v>
      </c>
      <c r="O136" s="73">
        <f>G136*K136</f>
        <v>1383664</v>
      </c>
      <c r="P136" s="73">
        <f>G136*L136</f>
        <v>128063.67999999999</v>
      </c>
      <c r="Q136" s="73"/>
      <c r="R136" s="75">
        <f>G136*M136</f>
        <v>477898.88</v>
      </c>
      <c r="S136" s="46"/>
      <c r="T136" s="46">
        <f>N136</f>
        <v>1989626.56</v>
      </c>
      <c r="U136" s="46">
        <f>T136</f>
        <v>1989626.56</v>
      </c>
    </row>
    <row r="137" spans="1:23" ht="82.8">
      <c r="A137" s="449"/>
      <c r="B137" s="450"/>
      <c r="C137" s="63" t="s">
        <v>163</v>
      </c>
      <c r="D137" s="64" t="s">
        <v>101</v>
      </c>
      <c r="E137" s="123" t="s">
        <v>104</v>
      </c>
      <c r="F137" s="123" t="s">
        <v>104</v>
      </c>
      <c r="G137" s="123" t="s">
        <v>104</v>
      </c>
      <c r="H137" s="59" t="s">
        <v>104</v>
      </c>
      <c r="I137" s="59" t="s">
        <v>104</v>
      </c>
      <c r="J137" s="59" t="s">
        <v>104</v>
      </c>
      <c r="K137" s="123" t="s">
        <v>104</v>
      </c>
      <c r="L137" s="123" t="s">
        <v>104</v>
      </c>
      <c r="M137" s="59" t="s">
        <v>104</v>
      </c>
      <c r="N137" s="71"/>
      <c r="O137" s="71"/>
      <c r="P137" s="59" t="s">
        <v>104</v>
      </c>
      <c r="Q137" s="59"/>
      <c r="R137" s="59" t="s">
        <v>104</v>
      </c>
      <c r="S137" s="123"/>
      <c r="T137" s="46"/>
      <c r="U137" s="46"/>
    </row>
    <row r="138" spans="1:23">
      <c r="A138" s="449"/>
      <c r="B138" s="450"/>
      <c r="C138" s="63" t="s">
        <v>165</v>
      </c>
      <c r="D138" s="64" t="s">
        <v>101</v>
      </c>
      <c r="E138" s="122">
        <v>0</v>
      </c>
      <c r="F138" s="122">
        <v>1</v>
      </c>
      <c r="G138" s="123">
        <f>((E138*8)+(F138*4))/12</f>
        <v>0.33333333333333331</v>
      </c>
      <c r="H138" s="60">
        <v>0</v>
      </c>
      <c r="I138" s="60">
        <v>0</v>
      </c>
      <c r="J138" s="75">
        <f>K138</f>
        <v>92591.35</v>
      </c>
      <c r="K138" s="46">
        <v>92591.35</v>
      </c>
      <c r="L138" s="123" t="s">
        <v>104</v>
      </c>
      <c r="M138" s="59" t="s">
        <v>104</v>
      </c>
      <c r="N138" s="71">
        <f>O138</f>
        <v>30863.783333333333</v>
      </c>
      <c r="O138" s="71">
        <f>G138*K138</f>
        <v>30863.783333333333</v>
      </c>
      <c r="P138" s="59" t="s">
        <v>104</v>
      </c>
      <c r="Q138" s="59"/>
      <c r="R138" s="59" t="s">
        <v>104</v>
      </c>
      <c r="S138" s="123"/>
      <c r="T138" s="46">
        <f>H138*K138</f>
        <v>0</v>
      </c>
      <c r="U138" s="46">
        <f>I138*K138</f>
        <v>0</v>
      </c>
    </row>
    <row r="139" spans="1:23" ht="82.8">
      <c r="A139" s="449"/>
      <c r="B139" s="450"/>
      <c r="C139" s="61" t="s">
        <v>105</v>
      </c>
      <c r="D139" s="64" t="s">
        <v>101</v>
      </c>
      <c r="E139" s="122"/>
      <c r="F139" s="122">
        <v>0</v>
      </c>
      <c r="G139" s="213">
        <f>((E139*8)+(F139*4))/12</f>
        <v>0</v>
      </c>
      <c r="H139" s="60">
        <v>0</v>
      </c>
      <c r="I139" s="60">
        <v>0</v>
      </c>
      <c r="J139" s="75">
        <f>SUM(K139:M139)</f>
        <v>187479.62999999998</v>
      </c>
      <c r="K139" s="46">
        <f>181478.86+1998.78</f>
        <v>183477.63999999998</v>
      </c>
      <c r="L139" s="211">
        <f>4001.99</f>
        <v>4001.99</v>
      </c>
      <c r="M139" s="70">
        <v>0</v>
      </c>
      <c r="N139" s="73"/>
      <c r="O139" s="73">
        <f>K139*G139</f>
        <v>0</v>
      </c>
      <c r="P139" s="73">
        <f>L139*G139</f>
        <v>0</v>
      </c>
      <c r="Q139" s="73"/>
      <c r="R139" s="73"/>
      <c r="S139" s="207"/>
      <c r="T139" s="46">
        <f>H139*J139</f>
        <v>0</v>
      </c>
      <c r="U139" s="46">
        <f>I139*J139</f>
        <v>0</v>
      </c>
    </row>
    <row r="140" spans="1:23">
      <c r="A140" s="449"/>
      <c r="B140" s="274"/>
      <c r="C140" s="293" t="s">
        <v>106</v>
      </c>
      <c r="D140" s="64"/>
      <c r="E140" s="122">
        <f>E136+E139</f>
        <v>34</v>
      </c>
      <c r="F140" s="122">
        <f>F136+F139</f>
        <v>28</v>
      </c>
      <c r="G140" s="122">
        <f>G136+G139</f>
        <v>32</v>
      </c>
      <c r="H140" s="60">
        <f>H136+H139</f>
        <v>34</v>
      </c>
      <c r="I140" s="60">
        <f>I136+I139</f>
        <v>34</v>
      </c>
      <c r="J140" s="73" t="s">
        <v>104</v>
      </c>
      <c r="K140" s="207" t="s">
        <v>104</v>
      </c>
      <c r="L140" s="207" t="s">
        <v>104</v>
      </c>
      <c r="M140" s="73" t="s">
        <v>104</v>
      </c>
      <c r="N140" s="103">
        <f>SUM(N136:N139)</f>
        <v>2020490.3433333335</v>
      </c>
      <c r="O140" s="74">
        <f>SUM(O136:O139)</f>
        <v>1414527.7833333334</v>
      </c>
      <c r="P140" s="74">
        <f>SUM(P136:P139)</f>
        <v>128063.67999999999</v>
      </c>
      <c r="Q140" s="74"/>
      <c r="R140" s="103">
        <f>SUM(R136:R139)</f>
        <v>477898.88</v>
      </c>
      <c r="S140" s="185"/>
      <c r="T140" s="185">
        <f>SUM(T136:T139)</f>
        <v>1989626.56</v>
      </c>
      <c r="U140" s="185">
        <f>SUM(U136:U139)</f>
        <v>1989626.56</v>
      </c>
    </row>
    <row r="141" spans="1:23" ht="102" customHeight="1">
      <c r="A141" s="449"/>
      <c r="B141" s="137" t="s">
        <v>240</v>
      </c>
      <c r="C141" s="61" t="s">
        <v>187</v>
      </c>
      <c r="D141" s="64" t="s">
        <v>101</v>
      </c>
      <c r="E141" s="122">
        <v>443</v>
      </c>
      <c r="F141" s="122">
        <v>860</v>
      </c>
      <c r="G141" s="123">
        <f>((E141*8)+(F141*4))/12</f>
        <v>582</v>
      </c>
      <c r="H141" s="60">
        <v>630</v>
      </c>
      <c r="I141" s="60">
        <v>630</v>
      </c>
      <c r="J141" s="75">
        <f>K141</f>
        <v>3978.73</v>
      </c>
      <c r="K141" s="46">
        <v>3978.73</v>
      </c>
      <c r="L141" s="207" t="s">
        <v>104</v>
      </c>
      <c r="M141" s="73" t="s">
        <v>104</v>
      </c>
      <c r="N141" s="73">
        <f>SUM(O141:R141)</f>
        <v>2315620.86</v>
      </c>
      <c r="O141" s="73">
        <f>G141*K141</f>
        <v>2315620.86</v>
      </c>
      <c r="P141" s="73" t="s">
        <v>104</v>
      </c>
      <c r="Q141" s="73"/>
      <c r="R141" s="73" t="s">
        <v>104</v>
      </c>
      <c r="S141" s="207"/>
      <c r="T141" s="46">
        <f>H141*J141</f>
        <v>2506599.9</v>
      </c>
      <c r="U141" s="46">
        <f t="shared" ref="U141:U148" si="38">T141</f>
        <v>2506599.9</v>
      </c>
    </row>
    <row r="142" spans="1:23">
      <c r="A142" s="449"/>
      <c r="B142" s="69"/>
      <c r="C142" s="293" t="s">
        <v>106</v>
      </c>
      <c r="D142" s="69"/>
      <c r="E142" s="122">
        <f>SUM(E141:E141)</f>
        <v>443</v>
      </c>
      <c r="F142" s="122">
        <f>SUM(F141:F141)</f>
        <v>860</v>
      </c>
      <c r="G142" s="122">
        <f>SUM(G141:G141)</f>
        <v>582</v>
      </c>
      <c r="H142" s="60">
        <f>SUM(H141:H141)</f>
        <v>630</v>
      </c>
      <c r="I142" s="60">
        <f>SUM(I141:I141)</f>
        <v>630</v>
      </c>
      <c r="J142" s="73" t="s">
        <v>104</v>
      </c>
      <c r="K142" s="207" t="s">
        <v>104</v>
      </c>
      <c r="L142" s="207" t="s">
        <v>104</v>
      </c>
      <c r="M142" s="74">
        <f t="shared" ref="M142:R142" si="39">SUM(M141:M141)</f>
        <v>0</v>
      </c>
      <c r="N142" s="103">
        <f>SUM(N141:N141)</f>
        <v>2315620.86</v>
      </c>
      <c r="O142" s="74">
        <f t="shared" si="39"/>
        <v>2315620.86</v>
      </c>
      <c r="P142" s="74">
        <f t="shared" si="39"/>
        <v>0</v>
      </c>
      <c r="Q142" s="74"/>
      <c r="R142" s="74">
        <f t="shared" si="39"/>
        <v>0</v>
      </c>
      <c r="S142" s="185"/>
      <c r="T142" s="46">
        <f>N142</f>
        <v>2315620.86</v>
      </c>
      <c r="U142" s="46">
        <f t="shared" si="38"/>
        <v>2315620.86</v>
      </c>
      <c r="V142" s="192">
        <v>33800419.590000004</v>
      </c>
      <c r="W142" s="192">
        <f>V142-T150</f>
        <v>902119.1966666691</v>
      </c>
    </row>
    <row r="143" spans="1:23" ht="13.95" hidden="1" customHeight="1">
      <c r="A143" s="449"/>
      <c r="B143" s="69" t="s">
        <v>283</v>
      </c>
      <c r="C143" s="181" t="s">
        <v>226</v>
      </c>
      <c r="D143" s="69"/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P143</f>
        <v>0</v>
      </c>
      <c r="O143" s="74"/>
      <c r="P143" s="74"/>
      <c r="Q143" s="74"/>
      <c r="R143" s="74"/>
      <c r="S143" s="185"/>
      <c r="T143" s="46">
        <f>P143</f>
        <v>0</v>
      </c>
      <c r="U143" s="46">
        <f t="shared" si="38"/>
        <v>0</v>
      </c>
      <c r="V143" s="192">
        <f>N126+N135+N140+N142+N143</f>
        <v>30557158.693333335</v>
      </c>
    </row>
    <row r="144" spans="1:23" ht="13.95" hidden="1" customHeight="1">
      <c r="A144" s="449"/>
      <c r="B144" s="89" t="s">
        <v>225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>
        <f t="shared" si="38"/>
        <v>0</v>
      </c>
    </row>
    <row r="145" spans="1:27" ht="13.95" hidden="1" customHeight="1">
      <c r="A145" s="449"/>
      <c r="B145" s="89" t="s">
        <v>225</v>
      </c>
      <c r="C145" s="181" t="s">
        <v>226</v>
      </c>
      <c r="D145" s="64" t="s">
        <v>101</v>
      </c>
      <c r="E145" s="122"/>
      <c r="F145" s="122"/>
      <c r="G145" s="122"/>
      <c r="H145" s="60"/>
      <c r="I145" s="60"/>
      <c r="J145" s="73"/>
      <c r="K145" s="207"/>
      <c r="L145" s="207"/>
      <c r="M145" s="74"/>
      <c r="N145" s="74">
        <f>S145</f>
        <v>0</v>
      </c>
      <c r="O145" s="74"/>
      <c r="P145" s="74"/>
      <c r="Q145" s="74"/>
      <c r="R145" s="74"/>
      <c r="S145" s="185"/>
      <c r="T145" s="46">
        <f>Q145</f>
        <v>0</v>
      </c>
      <c r="U145" s="46">
        <f t="shared" si="38"/>
        <v>0</v>
      </c>
    </row>
    <row r="146" spans="1:27" ht="13.95" hidden="1" customHeight="1">
      <c r="A146" s="449"/>
      <c r="B146" s="89" t="s">
        <v>282</v>
      </c>
      <c r="C146" s="181" t="s">
        <v>219</v>
      </c>
      <c r="D146" s="64" t="s">
        <v>101</v>
      </c>
      <c r="E146" s="122"/>
      <c r="F146" s="122"/>
      <c r="G146" s="122">
        <v>14</v>
      </c>
      <c r="H146" s="60">
        <v>14</v>
      </c>
      <c r="I146" s="60">
        <v>14</v>
      </c>
      <c r="J146" s="73"/>
      <c r="K146" s="207"/>
      <c r="L146" s="207"/>
      <c r="M146" s="74"/>
      <c r="N146" s="74">
        <f>S146</f>
        <v>0</v>
      </c>
      <c r="O146" s="74"/>
      <c r="P146" s="74"/>
      <c r="Q146" s="74"/>
      <c r="R146" s="74"/>
      <c r="S146" s="185"/>
      <c r="T146" s="46"/>
      <c r="U146" s="46"/>
    </row>
    <row r="147" spans="1:27">
      <c r="A147" s="449"/>
      <c r="B147" s="89" t="s">
        <v>289</v>
      </c>
      <c r="C147" s="181" t="s">
        <v>226</v>
      </c>
      <c r="D147" s="64"/>
      <c r="E147" s="122">
        <v>20</v>
      </c>
      <c r="F147" s="122">
        <v>20</v>
      </c>
      <c r="G147" s="122">
        <v>20</v>
      </c>
      <c r="H147" s="60">
        <v>20</v>
      </c>
      <c r="I147" s="60">
        <v>20</v>
      </c>
      <c r="J147" s="73"/>
      <c r="K147" s="207"/>
      <c r="L147" s="207"/>
      <c r="M147" s="74"/>
      <c r="N147" s="74">
        <f>O147</f>
        <v>2343600</v>
      </c>
      <c r="O147" s="74">
        <v>2343600</v>
      </c>
      <c r="P147" s="74"/>
      <c r="Q147" s="74"/>
      <c r="R147" s="74"/>
      <c r="S147" s="185"/>
      <c r="T147" s="46">
        <v>2343600</v>
      </c>
      <c r="U147" s="46">
        <f>T147</f>
        <v>2343600</v>
      </c>
    </row>
    <row r="148" spans="1:27" ht="13.95" hidden="1" customHeight="1">
      <c r="A148" s="449"/>
      <c r="B148" s="89" t="s">
        <v>257</v>
      </c>
      <c r="C148" s="181" t="s">
        <v>226</v>
      </c>
      <c r="D148" s="64"/>
      <c r="E148" s="122"/>
      <c r="F148" s="122"/>
      <c r="G148" s="122"/>
      <c r="H148" s="60"/>
      <c r="I148" s="60"/>
      <c r="J148" s="73"/>
      <c r="K148" s="207"/>
      <c r="L148" s="207"/>
      <c r="M148" s="74"/>
      <c r="N148" s="74">
        <f>O148</f>
        <v>0</v>
      </c>
      <c r="O148" s="74"/>
      <c r="P148" s="74"/>
      <c r="Q148" s="74"/>
      <c r="R148" s="74"/>
      <c r="S148" s="185"/>
      <c r="T148" s="46">
        <f>O148</f>
        <v>0</v>
      </c>
      <c r="U148" s="46">
        <f t="shared" si="38"/>
        <v>0</v>
      </c>
    </row>
    <row r="149" spans="1:27" ht="13.95" hidden="1" customHeight="1">
      <c r="A149" s="449"/>
      <c r="B149" s="89" t="s">
        <v>290</v>
      </c>
      <c r="C149" s="181" t="s">
        <v>226</v>
      </c>
      <c r="D149" s="64"/>
      <c r="E149" s="122"/>
      <c r="F149" s="122"/>
      <c r="G149" s="122"/>
      <c r="H149" s="60"/>
      <c r="I149" s="60"/>
      <c r="J149" s="73"/>
      <c r="K149" s="207"/>
      <c r="L149" s="207"/>
      <c r="M149" s="74"/>
      <c r="N149" s="74">
        <f>P149</f>
        <v>0</v>
      </c>
      <c r="O149" s="74"/>
      <c r="P149" s="74"/>
      <c r="Q149" s="74"/>
      <c r="R149" s="74"/>
      <c r="S149" s="185"/>
      <c r="T149" s="46"/>
      <c r="U149" s="46">
        <f>T149</f>
        <v>0</v>
      </c>
    </row>
    <row r="150" spans="1:27">
      <c r="A150" s="449"/>
      <c r="B150" s="101" t="s">
        <v>112</v>
      </c>
      <c r="C150" s="101"/>
      <c r="D150" s="69"/>
      <c r="E150" s="214">
        <f>E126+E135+E140</f>
        <v>510</v>
      </c>
      <c r="F150" s="102">
        <f>F126+F135+F140</f>
        <v>479</v>
      </c>
      <c r="G150" s="214">
        <f>G126+G135+G140</f>
        <v>499.66666666666669</v>
      </c>
      <c r="H150" s="102">
        <f>H126+H135+H140</f>
        <v>510</v>
      </c>
      <c r="I150" s="102">
        <f>I126+I135+I140</f>
        <v>510</v>
      </c>
      <c r="J150" s="104"/>
      <c r="K150" s="221"/>
      <c r="L150" s="138"/>
      <c r="M150" s="103"/>
      <c r="N150" s="103">
        <f>SUM(O150:S150)</f>
        <v>32900758.693333335</v>
      </c>
      <c r="O150" s="136">
        <f>O126+O135+O140+O142+O147+O148</f>
        <v>23665382.493333336</v>
      </c>
      <c r="P150" s="103">
        <f>P126+P135+P140+P142+P143+P144+P145+P149</f>
        <v>1999661.0033333332</v>
      </c>
      <c r="Q150" s="103">
        <f>Q126+Q135+Q140+Q142+Q143+Q144+Q145</f>
        <v>0</v>
      </c>
      <c r="R150" s="103">
        <f>R126+R135+R140+R142+R143+R144+R145+R146</f>
        <v>7235715.1966666663</v>
      </c>
      <c r="S150" s="138">
        <f>S126+S135+S140+S142+S143+S144+S145+S146</f>
        <v>0</v>
      </c>
      <c r="T150" s="138">
        <f>T126+T135+T140+T142+T143+T144+T145+T146+T147+T148+T149</f>
        <v>32898300.393333334</v>
      </c>
      <c r="U150" s="138">
        <f>U126+U135+U140+U142+U143+U144+U145+U146+U147+U148+U149</f>
        <v>32898300.393333334</v>
      </c>
      <c r="V150" s="182">
        <v>6303274.5899999999</v>
      </c>
      <c r="W150" s="192">
        <f>V150-R150</f>
        <v>-932440.60666666646</v>
      </c>
      <c r="X150" s="182">
        <f>W150/G150</f>
        <v>-1866.1252968645758</v>
      </c>
      <c r="AA150" s="192"/>
    </row>
    <row r="151" spans="1:27" ht="82.95" customHeight="1">
      <c r="A151" s="449" t="s">
        <v>116</v>
      </c>
      <c r="B151" s="451" t="s">
        <v>237</v>
      </c>
      <c r="C151" s="61" t="s">
        <v>100</v>
      </c>
      <c r="D151" s="62" t="s">
        <v>101</v>
      </c>
      <c r="E151" s="123">
        <v>325</v>
      </c>
      <c r="F151" s="123">
        <v>320</v>
      </c>
      <c r="G151" s="123">
        <f t="shared" ref="G151:G173" si="40">((E151*8)+(F151*4))/12</f>
        <v>323.33333333333331</v>
      </c>
      <c r="H151" s="59">
        <v>325</v>
      </c>
      <c r="I151" s="59">
        <v>325</v>
      </c>
      <c r="J151" s="107">
        <f>SUM(K151:M151)</f>
        <v>42926.31</v>
      </c>
      <c r="K151" s="220">
        <f>23258.45+1351.63</f>
        <v>24610.080000000002</v>
      </c>
      <c r="L151" s="211">
        <f>4001.99</f>
        <v>4001.99</v>
      </c>
      <c r="M151" s="70">
        <v>14314.24</v>
      </c>
      <c r="N151" s="71">
        <f>SUM(O151:R151)</f>
        <v>13879507.390000001</v>
      </c>
      <c r="O151" s="71">
        <f>G151*K151</f>
        <v>7957259.2000000002</v>
      </c>
      <c r="P151" s="71">
        <f>G151*L151</f>
        <v>1293976.7666666666</v>
      </c>
      <c r="Q151" s="71"/>
      <c r="R151" s="75">
        <f>G151*M151+0.49</f>
        <v>4628271.4233333329</v>
      </c>
      <c r="S151" s="46"/>
      <c r="T151" s="46">
        <f>N151</f>
        <v>13879507.390000001</v>
      </c>
      <c r="U151" s="46">
        <f>T151</f>
        <v>13879507.390000001</v>
      </c>
    </row>
    <row r="152" spans="1:27" ht="82.8">
      <c r="A152" s="449"/>
      <c r="B152" s="452"/>
      <c r="C152" s="63" t="s">
        <v>163</v>
      </c>
      <c r="D152" s="64" t="s">
        <v>101</v>
      </c>
      <c r="E152" s="123" t="s">
        <v>104</v>
      </c>
      <c r="F152" s="123" t="s">
        <v>104</v>
      </c>
      <c r="G152" s="123" t="s">
        <v>104</v>
      </c>
      <c r="H152" s="59" t="s">
        <v>104</v>
      </c>
      <c r="I152" s="59" t="s">
        <v>104</v>
      </c>
      <c r="J152" s="59" t="s">
        <v>104</v>
      </c>
      <c r="K152" s="123" t="s">
        <v>104</v>
      </c>
      <c r="L152" s="123" t="s">
        <v>104</v>
      </c>
      <c r="M152" s="59" t="s">
        <v>104</v>
      </c>
      <c r="N152" s="71"/>
      <c r="O152" s="71"/>
      <c r="P152" s="59" t="s">
        <v>104</v>
      </c>
      <c r="Q152" s="59"/>
      <c r="R152" s="59" t="s">
        <v>104</v>
      </c>
      <c r="S152" s="123"/>
      <c r="T152" s="46"/>
      <c r="U152" s="46"/>
    </row>
    <row r="153" spans="1:27">
      <c r="A153" s="449"/>
      <c r="B153" s="452"/>
      <c r="C153" s="63" t="s">
        <v>164</v>
      </c>
      <c r="D153" s="64" t="s">
        <v>101</v>
      </c>
      <c r="E153" s="123"/>
      <c r="F153" s="123">
        <v>1</v>
      </c>
      <c r="G153" s="123">
        <f t="shared" si="40"/>
        <v>0.33333333333333331</v>
      </c>
      <c r="H153" s="59"/>
      <c r="I153" s="59"/>
      <c r="J153" s="75">
        <f t="shared" ref="J153:J159" si="41">K153</f>
        <v>25714.959999999999</v>
      </c>
      <c r="K153" s="205">
        <v>25714.959999999999</v>
      </c>
      <c r="L153" s="123" t="s">
        <v>104</v>
      </c>
      <c r="M153" s="59" t="s">
        <v>104</v>
      </c>
      <c r="N153" s="71">
        <f t="shared" ref="N153:N159" si="42">O153</f>
        <v>8571.6533333333318</v>
      </c>
      <c r="O153" s="71">
        <f>G153*K153</f>
        <v>8571.6533333333318</v>
      </c>
      <c r="P153" s="59" t="s">
        <v>104</v>
      </c>
      <c r="Q153" s="59"/>
      <c r="R153" s="59"/>
      <c r="S153" s="123"/>
      <c r="T153" s="46">
        <f t="shared" ref="T153:T159" si="43">H153*K153</f>
        <v>0</v>
      </c>
      <c r="U153" s="46">
        <f t="shared" ref="U153:U159" si="44">I153*K153</f>
        <v>0</v>
      </c>
    </row>
    <row r="154" spans="1:27">
      <c r="A154" s="449"/>
      <c r="B154" s="452"/>
      <c r="C154" s="63" t="s">
        <v>169</v>
      </c>
      <c r="D154" s="64" t="s">
        <v>101</v>
      </c>
      <c r="E154" s="123">
        <v>3</v>
      </c>
      <c r="F154" s="123">
        <v>6</v>
      </c>
      <c r="G154" s="123">
        <f t="shared" si="40"/>
        <v>4</v>
      </c>
      <c r="H154" s="59">
        <v>3</v>
      </c>
      <c r="I154" s="59">
        <v>3</v>
      </c>
      <c r="J154" s="75">
        <f t="shared" si="41"/>
        <v>69482.740000000005</v>
      </c>
      <c r="K154" s="205">
        <v>69482.740000000005</v>
      </c>
      <c r="L154" s="123" t="s">
        <v>104</v>
      </c>
      <c r="M154" s="59" t="s">
        <v>104</v>
      </c>
      <c r="N154" s="71">
        <f t="shared" si="42"/>
        <v>277930.96000000002</v>
      </c>
      <c r="O154" s="71">
        <f t="shared" ref="O154:O159" si="45">G154*K154</f>
        <v>277930.96000000002</v>
      </c>
      <c r="P154" s="59" t="s">
        <v>104</v>
      </c>
      <c r="Q154" s="59"/>
      <c r="R154" s="59" t="s">
        <v>104</v>
      </c>
      <c r="S154" s="123"/>
      <c r="T154" s="46">
        <f t="shared" si="43"/>
        <v>208448.22000000003</v>
      </c>
      <c r="U154" s="46">
        <f t="shared" si="44"/>
        <v>208448.22000000003</v>
      </c>
    </row>
    <row r="155" spans="1:27">
      <c r="A155" s="449"/>
      <c r="B155" s="452"/>
      <c r="C155" s="63" t="s">
        <v>165</v>
      </c>
      <c r="D155" s="64" t="s">
        <v>101</v>
      </c>
      <c r="E155" s="123">
        <v>1</v>
      </c>
      <c r="F155" s="123">
        <v>1</v>
      </c>
      <c r="G155" s="123">
        <f t="shared" si="40"/>
        <v>1</v>
      </c>
      <c r="H155" s="59">
        <v>1</v>
      </c>
      <c r="I155" s="59">
        <v>1</v>
      </c>
      <c r="J155" s="75">
        <f t="shared" si="41"/>
        <v>92591.35</v>
      </c>
      <c r="K155" s="205">
        <v>92591.35</v>
      </c>
      <c r="L155" s="123" t="s">
        <v>104</v>
      </c>
      <c r="M155" s="59" t="s">
        <v>104</v>
      </c>
      <c r="N155" s="71">
        <f t="shared" si="42"/>
        <v>92591.35</v>
      </c>
      <c r="O155" s="71">
        <f t="shared" si="45"/>
        <v>92591.35</v>
      </c>
      <c r="P155" s="59"/>
      <c r="Q155" s="59"/>
      <c r="R155" s="59"/>
      <c r="S155" s="123"/>
      <c r="T155" s="46">
        <f>H155*K155</f>
        <v>92591.35</v>
      </c>
      <c r="U155" s="46">
        <f t="shared" si="44"/>
        <v>92591.35</v>
      </c>
    </row>
    <row r="156" spans="1:27">
      <c r="A156" s="449"/>
      <c r="B156" s="452"/>
      <c r="C156" s="63" t="s">
        <v>166</v>
      </c>
      <c r="D156" s="64" t="s">
        <v>101</v>
      </c>
      <c r="E156" s="123">
        <v>1</v>
      </c>
      <c r="F156" s="123">
        <v>6</v>
      </c>
      <c r="G156" s="123">
        <f t="shared" si="40"/>
        <v>2.6666666666666665</v>
      </c>
      <c r="H156" s="59">
        <v>1</v>
      </c>
      <c r="I156" s="59">
        <v>1</v>
      </c>
      <c r="J156" s="75">
        <f t="shared" si="41"/>
        <v>66481.399999999994</v>
      </c>
      <c r="K156" s="46">
        <v>66481.399999999994</v>
      </c>
      <c r="L156" s="123" t="s">
        <v>104</v>
      </c>
      <c r="M156" s="59" t="s">
        <v>104</v>
      </c>
      <c r="N156" s="71">
        <f t="shared" si="42"/>
        <v>177283.73333333331</v>
      </c>
      <c r="O156" s="71">
        <f t="shared" si="45"/>
        <v>177283.73333333331</v>
      </c>
      <c r="P156" s="59" t="s">
        <v>104</v>
      </c>
      <c r="Q156" s="59"/>
      <c r="R156" s="59" t="s">
        <v>104</v>
      </c>
      <c r="S156" s="123"/>
      <c r="T156" s="46">
        <f t="shared" si="43"/>
        <v>66481.399999999994</v>
      </c>
      <c r="U156" s="46">
        <f t="shared" si="44"/>
        <v>66481.399999999994</v>
      </c>
    </row>
    <row r="157" spans="1:27">
      <c r="A157" s="449"/>
      <c r="B157" s="452"/>
      <c r="C157" s="63" t="s">
        <v>190</v>
      </c>
      <c r="D157" s="64" t="s">
        <v>101</v>
      </c>
      <c r="E157" s="123"/>
      <c r="F157" s="123"/>
      <c r="G157" s="123">
        <f t="shared" si="40"/>
        <v>0</v>
      </c>
      <c r="H157" s="59"/>
      <c r="I157" s="59"/>
      <c r="J157" s="75">
        <f t="shared" si="41"/>
        <v>178902.16</v>
      </c>
      <c r="K157" s="46">
        <v>178902.16</v>
      </c>
      <c r="L157" s="123" t="s">
        <v>104</v>
      </c>
      <c r="M157" s="59" t="s">
        <v>104</v>
      </c>
      <c r="N157" s="71">
        <f t="shared" si="42"/>
        <v>0</v>
      </c>
      <c r="O157" s="71">
        <f t="shared" si="45"/>
        <v>0</v>
      </c>
      <c r="P157" s="59" t="s">
        <v>104</v>
      </c>
      <c r="Q157" s="59"/>
      <c r="R157" s="59" t="s">
        <v>104</v>
      </c>
      <c r="S157" s="123"/>
      <c r="T157" s="46">
        <f t="shared" si="43"/>
        <v>0</v>
      </c>
      <c r="U157" s="46">
        <f t="shared" si="44"/>
        <v>0</v>
      </c>
    </row>
    <row r="158" spans="1:27">
      <c r="A158" s="449"/>
      <c r="B158" s="452"/>
      <c r="C158" s="63" t="s">
        <v>170</v>
      </c>
      <c r="D158" s="64" t="s">
        <v>101</v>
      </c>
      <c r="E158" s="123"/>
      <c r="F158" s="123"/>
      <c r="G158" s="123">
        <f t="shared" si="40"/>
        <v>0</v>
      </c>
      <c r="H158" s="59"/>
      <c r="I158" s="59"/>
      <c r="J158" s="75">
        <f t="shared" si="41"/>
        <v>99770.92</v>
      </c>
      <c r="K158" s="46">
        <v>99770.92</v>
      </c>
      <c r="L158" s="123" t="s">
        <v>104</v>
      </c>
      <c r="M158" s="59" t="s">
        <v>104</v>
      </c>
      <c r="N158" s="71">
        <f t="shared" si="42"/>
        <v>0</v>
      </c>
      <c r="O158" s="71">
        <f t="shared" si="45"/>
        <v>0</v>
      </c>
      <c r="P158" s="59" t="s">
        <v>104</v>
      </c>
      <c r="Q158" s="59"/>
      <c r="R158" s="59" t="s">
        <v>104</v>
      </c>
      <c r="S158" s="123"/>
      <c r="T158" s="46">
        <f t="shared" si="43"/>
        <v>0</v>
      </c>
      <c r="U158" s="46">
        <f t="shared" si="44"/>
        <v>0</v>
      </c>
    </row>
    <row r="159" spans="1:27">
      <c r="A159" s="449"/>
      <c r="B159" s="452"/>
      <c r="C159" s="63" t="s">
        <v>168</v>
      </c>
      <c r="D159" s="64" t="s">
        <v>101</v>
      </c>
      <c r="E159" s="123">
        <v>1</v>
      </c>
      <c r="F159" s="123">
        <v>1</v>
      </c>
      <c r="G159" s="123">
        <f t="shared" si="40"/>
        <v>1</v>
      </c>
      <c r="H159" s="59">
        <v>1</v>
      </c>
      <c r="I159" s="59">
        <v>1</v>
      </c>
      <c r="J159" s="75">
        <f t="shared" si="41"/>
        <v>23678.79</v>
      </c>
      <c r="K159" s="46">
        <v>23678.79</v>
      </c>
      <c r="L159" s="123" t="s">
        <v>104</v>
      </c>
      <c r="M159" s="59" t="s">
        <v>104</v>
      </c>
      <c r="N159" s="71">
        <f t="shared" si="42"/>
        <v>23678.79</v>
      </c>
      <c r="O159" s="71">
        <f t="shared" si="45"/>
        <v>23678.79</v>
      </c>
      <c r="P159" s="59" t="s">
        <v>104</v>
      </c>
      <c r="Q159" s="59"/>
      <c r="R159" s="59" t="s">
        <v>104</v>
      </c>
      <c r="S159" s="123"/>
      <c r="T159" s="46">
        <f t="shared" si="43"/>
        <v>23678.79</v>
      </c>
      <c r="U159" s="46">
        <f t="shared" si="44"/>
        <v>23678.79</v>
      </c>
    </row>
    <row r="160" spans="1:27" ht="84.6" customHeight="1">
      <c r="A160" s="449"/>
      <c r="B160" s="452"/>
      <c r="C160" s="61" t="s">
        <v>105</v>
      </c>
      <c r="D160" s="64" t="s">
        <v>101</v>
      </c>
      <c r="E160" s="123">
        <v>1</v>
      </c>
      <c r="F160" s="123">
        <v>1</v>
      </c>
      <c r="G160" s="123">
        <f t="shared" si="40"/>
        <v>1</v>
      </c>
      <c r="H160" s="59">
        <v>1</v>
      </c>
      <c r="I160" s="59">
        <v>1</v>
      </c>
      <c r="J160" s="75">
        <f>SUM(K160:M160)</f>
        <v>141179.59</v>
      </c>
      <c r="K160" s="46">
        <f>121511.73+1351.63</f>
        <v>122863.36</v>
      </c>
      <c r="L160" s="211">
        <f>4001.99</f>
        <v>4001.99</v>
      </c>
      <c r="M160" s="70">
        <v>14314.24</v>
      </c>
      <c r="N160" s="71">
        <f>SUM(O160:R160)</f>
        <v>141179.59</v>
      </c>
      <c r="O160" s="71">
        <f>G160*K160</f>
        <v>122863.36</v>
      </c>
      <c r="P160" s="71">
        <f>G160*L160</f>
        <v>4001.99</v>
      </c>
      <c r="Q160" s="71"/>
      <c r="R160" s="75">
        <f>G160*M160</f>
        <v>14314.24</v>
      </c>
      <c r="S160" s="46"/>
      <c r="T160" s="46">
        <f>N160</f>
        <v>141179.59</v>
      </c>
      <c r="U160" s="46">
        <f>T160</f>
        <v>141179.59</v>
      </c>
    </row>
    <row r="161" spans="1:26" ht="82.8">
      <c r="A161" s="449"/>
      <c r="B161" s="452"/>
      <c r="C161" s="61" t="s">
        <v>117</v>
      </c>
      <c r="D161" s="64" t="s">
        <v>101</v>
      </c>
      <c r="E161" s="123">
        <v>0</v>
      </c>
      <c r="F161" s="123">
        <v>0</v>
      </c>
      <c r="G161" s="123">
        <f t="shared" si="40"/>
        <v>0</v>
      </c>
      <c r="H161" s="59">
        <v>0</v>
      </c>
      <c r="I161" s="59">
        <v>0</v>
      </c>
      <c r="J161" s="75">
        <f>K161</f>
        <v>21475.65</v>
      </c>
      <c r="K161" s="46">
        <v>21475.65</v>
      </c>
      <c r="L161" s="184" t="s">
        <v>104</v>
      </c>
      <c r="M161" s="72" t="s">
        <v>104</v>
      </c>
      <c r="N161" s="71">
        <f>SUM(O161:R161)</f>
        <v>0</v>
      </c>
      <c r="O161" s="71">
        <f>G161*K161</f>
        <v>0</v>
      </c>
      <c r="P161" s="71"/>
      <c r="Q161" s="71"/>
      <c r="R161" s="71"/>
      <c r="S161" s="205"/>
      <c r="T161" s="46">
        <f>H161*J161</f>
        <v>0</v>
      </c>
      <c r="U161" s="46">
        <f>I161*J161</f>
        <v>0</v>
      </c>
    </row>
    <row r="162" spans="1:26">
      <c r="A162" s="449"/>
      <c r="B162" s="453"/>
      <c r="C162" s="293" t="s">
        <v>106</v>
      </c>
      <c r="D162" s="67"/>
      <c r="E162" s="123">
        <f>E151+E160</f>
        <v>326</v>
      </c>
      <c r="F162" s="123">
        <f>F151+F160</f>
        <v>321</v>
      </c>
      <c r="G162" s="123">
        <f>G151+G160</f>
        <v>324.33333333333331</v>
      </c>
      <c r="H162" s="59">
        <f>H151+H160</f>
        <v>326</v>
      </c>
      <c r="I162" s="59">
        <f>I151+I160</f>
        <v>326</v>
      </c>
      <c r="J162" s="71" t="s">
        <v>104</v>
      </c>
      <c r="K162" s="205" t="s">
        <v>104</v>
      </c>
      <c r="L162" s="205" t="s">
        <v>104</v>
      </c>
      <c r="M162" s="71" t="s">
        <v>104</v>
      </c>
      <c r="N162" s="118">
        <f>SUM(N151:N161)</f>
        <v>14600743.466666667</v>
      </c>
      <c r="O162" s="71">
        <f>SUM(O151:O161)</f>
        <v>8660179.046666665</v>
      </c>
      <c r="P162" s="71">
        <f>SUM(P151:P161)</f>
        <v>1297978.7566666666</v>
      </c>
      <c r="Q162" s="71"/>
      <c r="R162" s="118">
        <f>SUM(R151:R161)</f>
        <v>4642585.6633333331</v>
      </c>
      <c r="S162" s="205"/>
      <c r="T162" s="205">
        <f>SUM(T151:T161)</f>
        <v>14411886.74</v>
      </c>
      <c r="U162" s="205">
        <f>SUM(U151:U161)</f>
        <v>14411886.74</v>
      </c>
      <c r="Z162" s="192"/>
    </row>
    <row r="163" spans="1:26" ht="82.95" customHeight="1">
      <c r="A163" s="449"/>
      <c r="B163" s="451" t="s">
        <v>238</v>
      </c>
      <c r="C163" s="61" t="s">
        <v>100</v>
      </c>
      <c r="D163" s="62" t="s">
        <v>101</v>
      </c>
      <c r="E163" s="123">
        <v>214</v>
      </c>
      <c r="F163" s="123">
        <v>204</v>
      </c>
      <c r="G163" s="123">
        <f t="shared" si="40"/>
        <v>210.66666666666666</v>
      </c>
      <c r="H163" s="59">
        <v>214</v>
      </c>
      <c r="I163" s="59">
        <v>214</v>
      </c>
      <c r="J163" s="107">
        <f>SUM(K163:M163)</f>
        <v>54702.01</v>
      </c>
      <c r="K163" s="220">
        <f>34483.05+1649.65</f>
        <v>36132.700000000004</v>
      </c>
      <c r="L163" s="211">
        <f>4001.99</f>
        <v>4001.99</v>
      </c>
      <c r="M163" s="70">
        <v>14567.32</v>
      </c>
      <c r="N163" s="71">
        <f>SUM(O163:R163)</f>
        <v>11523890.106666666</v>
      </c>
      <c r="O163" s="71">
        <f>G163*K163</f>
        <v>7611955.4666666668</v>
      </c>
      <c r="P163" s="71">
        <f>G163*L163</f>
        <v>843085.8933333332</v>
      </c>
      <c r="Q163" s="71"/>
      <c r="R163" s="75">
        <f>G163*M163</f>
        <v>3068848.7466666666</v>
      </c>
      <c r="S163" s="46"/>
      <c r="T163" s="46">
        <f>N163</f>
        <v>11523890.106666666</v>
      </c>
      <c r="U163" s="46">
        <f>T163</f>
        <v>11523890.106666666</v>
      </c>
    </row>
    <row r="164" spans="1:26" ht="96.6">
      <c r="A164" s="449"/>
      <c r="B164" s="452"/>
      <c r="C164" s="61" t="s">
        <v>118</v>
      </c>
      <c r="D164" s="62" t="s">
        <v>101</v>
      </c>
      <c r="E164" s="123">
        <v>195</v>
      </c>
      <c r="F164" s="123">
        <v>201</v>
      </c>
      <c r="G164" s="123">
        <f t="shared" si="40"/>
        <v>197</v>
      </c>
      <c r="H164" s="59">
        <v>195</v>
      </c>
      <c r="I164" s="59">
        <v>195</v>
      </c>
      <c r="J164" s="107">
        <f>SUM(K164:M164)</f>
        <v>58138.11</v>
      </c>
      <c r="K164" s="220">
        <f>37919.15+1649.65</f>
        <v>39568.800000000003</v>
      </c>
      <c r="L164" s="211">
        <f>4001.99</f>
        <v>4001.99</v>
      </c>
      <c r="M164" s="70">
        <v>14567.32</v>
      </c>
      <c r="N164" s="71">
        <f>SUM(O164:R164)</f>
        <v>11453207.670000002</v>
      </c>
      <c r="O164" s="71">
        <f>G164*K164</f>
        <v>7795053.6000000006</v>
      </c>
      <c r="P164" s="71">
        <f>G164*L164</f>
        <v>788392.02999999991</v>
      </c>
      <c r="Q164" s="71"/>
      <c r="R164" s="75">
        <f>G164*M164</f>
        <v>2869762.04</v>
      </c>
      <c r="S164" s="46"/>
      <c r="T164" s="46">
        <f>N164</f>
        <v>11453207.670000002</v>
      </c>
      <c r="U164" s="46">
        <f>T164</f>
        <v>11453207.670000002</v>
      </c>
    </row>
    <row r="165" spans="1:26" ht="82.8">
      <c r="A165" s="449"/>
      <c r="B165" s="452"/>
      <c r="C165" s="63" t="s">
        <v>102</v>
      </c>
      <c r="D165" s="64" t="s">
        <v>101</v>
      </c>
      <c r="E165" s="123" t="s">
        <v>104</v>
      </c>
      <c r="F165" s="123" t="s">
        <v>104</v>
      </c>
      <c r="G165" s="123" t="s">
        <v>104</v>
      </c>
      <c r="H165" s="59" t="s">
        <v>104</v>
      </c>
      <c r="I165" s="59" t="s">
        <v>104</v>
      </c>
      <c r="J165" s="59" t="s">
        <v>104</v>
      </c>
      <c r="K165" s="123" t="s">
        <v>104</v>
      </c>
      <c r="L165" s="123" t="s">
        <v>104</v>
      </c>
      <c r="M165" s="59" t="s">
        <v>104</v>
      </c>
      <c r="N165" s="71"/>
      <c r="O165" s="71"/>
      <c r="P165" s="59" t="s">
        <v>104</v>
      </c>
      <c r="Q165" s="59"/>
      <c r="R165" s="59" t="s">
        <v>104</v>
      </c>
      <c r="S165" s="123"/>
      <c r="T165" s="46"/>
      <c r="U165" s="46"/>
    </row>
    <row r="166" spans="1:26">
      <c r="A166" s="449"/>
      <c r="B166" s="452"/>
      <c r="C166" s="63" t="s">
        <v>171</v>
      </c>
      <c r="D166" s="64" t="s">
        <v>101</v>
      </c>
      <c r="E166" s="122"/>
      <c r="F166" s="122"/>
      <c r="G166" s="123">
        <f t="shared" si="40"/>
        <v>0</v>
      </c>
      <c r="H166" s="60"/>
      <c r="I166" s="60"/>
      <c r="J166" s="75">
        <f>K166</f>
        <v>69482.740000000005</v>
      </c>
      <c r="K166" s="46">
        <v>69482.740000000005</v>
      </c>
      <c r="L166" s="123" t="s">
        <v>104</v>
      </c>
      <c r="M166" s="59" t="s">
        <v>104</v>
      </c>
      <c r="N166" s="71">
        <f>O166</f>
        <v>0</v>
      </c>
      <c r="O166" s="71">
        <f>G166*K166</f>
        <v>0</v>
      </c>
      <c r="P166" s="59" t="s">
        <v>104</v>
      </c>
      <c r="Q166" s="59"/>
      <c r="R166" s="59" t="s">
        <v>104</v>
      </c>
      <c r="S166" s="123"/>
      <c r="T166" s="46">
        <f>H166*K166</f>
        <v>0</v>
      </c>
      <c r="U166" s="46">
        <f>I166*K166</f>
        <v>0</v>
      </c>
    </row>
    <row r="167" spans="1:26">
      <c r="A167" s="449"/>
      <c r="B167" s="452"/>
      <c r="C167" s="63" t="s">
        <v>164</v>
      </c>
      <c r="D167" s="64" t="s">
        <v>101</v>
      </c>
      <c r="E167" s="122">
        <v>1</v>
      </c>
      <c r="F167" s="122"/>
      <c r="G167" s="123">
        <f t="shared" si="40"/>
        <v>0.66666666666666663</v>
      </c>
      <c r="H167" s="60">
        <v>1</v>
      </c>
      <c r="I167" s="60">
        <v>1</v>
      </c>
      <c r="J167" s="75">
        <f>K167</f>
        <v>25714.959999999999</v>
      </c>
      <c r="K167" s="46">
        <v>25714.959999999999</v>
      </c>
      <c r="L167" s="123" t="s">
        <v>104</v>
      </c>
      <c r="M167" s="59" t="s">
        <v>104</v>
      </c>
      <c r="N167" s="71">
        <f>O167</f>
        <v>17143.306666666664</v>
      </c>
      <c r="O167" s="71">
        <f t="shared" ref="O167:O168" si="46">G167*K167</f>
        <v>17143.306666666664</v>
      </c>
      <c r="P167" s="59" t="s">
        <v>104</v>
      </c>
      <c r="Q167" s="59"/>
      <c r="R167" s="59" t="s">
        <v>104</v>
      </c>
      <c r="S167" s="123"/>
      <c r="T167" s="46">
        <f>H167*K167</f>
        <v>25714.959999999999</v>
      </c>
      <c r="U167" s="46">
        <f>I167*K167</f>
        <v>25714.959999999999</v>
      </c>
    </row>
    <row r="168" spans="1:26">
      <c r="A168" s="449"/>
      <c r="B168" s="452"/>
      <c r="C168" s="63" t="s">
        <v>168</v>
      </c>
      <c r="D168" s="64" t="s">
        <v>101</v>
      </c>
      <c r="E168" s="122">
        <v>1</v>
      </c>
      <c r="F168" s="122"/>
      <c r="G168" s="123">
        <f t="shared" si="40"/>
        <v>0.66666666666666663</v>
      </c>
      <c r="H168" s="60">
        <v>1</v>
      </c>
      <c r="I168" s="60">
        <v>1</v>
      </c>
      <c r="J168" s="75">
        <f>K168</f>
        <v>23678.79</v>
      </c>
      <c r="K168" s="46">
        <v>23678.79</v>
      </c>
      <c r="L168" s="123" t="s">
        <v>104</v>
      </c>
      <c r="M168" s="59" t="s">
        <v>104</v>
      </c>
      <c r="N168" s="71">
        <f>O168</f>
        <v>15785.86</v>
      </c>
      <c r="O168" s="71">
        <f t="shared" si="46"/>
        <v>15785.86</v>
      </c>
      <c r="P168" s="59" t="s">
        <v>104</v>
      </c>
      <c r="Q168" s="59"/>
      <c r="R168" s="59" t="s">
        <v>104</v>
      </c>
      <c r="S168" s="123"/>
      <c r="T168" s="46">
        <f>H168*K168</f>
        <v>23678.79</v>
      </c>
      <c r="U168" s="46">
        <f>I168*K168</f>
        <v>23678.79</v>
      </c>
    </row>
    <row r="169" spans="1:26" ht="81.599999999999994" customHeight="1">
      <c r="A169" s="449"/>
      <c r="B169" s="452"/>
      <c r="C169" s="61" t="s">
        <v>105</v>
      </c>
      <c r="D169" s="64" t="s">
        <v>101</v>
      </c>
      <c r="E169" s="122">
        <v>1</v>
      </c>
      <c r="F169" s="122"/>
      <c r="G169" s="123">
        <f t="shared" si="40"/>
        <v>0.66666666666666663</v>
      </c>
      <c r="H169" s="60">
        <v>1</v>
      </c>
      <c r="I169" s="60">
        <v>1</v>
      </c>
      <c r="J169" s="75">
        <f>SUM(K169:M169)</f>
        <v>171714.25</v>
      </c>
      <c r="K169" s="46">
        <f>151495.29+1649.65</f>
        <v>153144.94</v>
      </c>
      <c r="L169" s="211">
        <f>4001.99</f>
        <v>4001.99</v>
      </c>
      <c r="M169" s="70">
        <v>14567.32</v>
      </c>
      <c r="N169" s="73">
        <f>SUM(O169:R169)</f>
        <v>119331.94</v>
      </c>
      <c r="O169" s="71">
        <f>G169*K169</f>
        <v>102096.62666666666</v>
      </c>
      <c r="P169" s="73">
        <f>G169*L169</f>
        <v>2667.9933333333329</v>
      </c>
      <c r="Q169" s="73"/>
      <c r="R169" s="73">
        <f>E169*M169</f>
        <v>14567.32</v>
      </c>
      <c r="S169" s="207"/>
      <c r="T169" s="46">
        <f>N169</f>
        <v>119331.94</v>
      </c>
      <c r="U169" s="46">
        <f>T169</f>
        <v>119331.94</v>
      </c>
    </row>
    <row r="170" spans="1:26" ht="82.8">
      <c r="A170" s="449"/>
      <c r="B170" s="452"/>
      <c r="C170" s="61" t="s">
        <v>117</v>
      </c>
      <c r="D170" s="64" t="s">
        <v>101</v>
      </c>
      <c r="E170" s="122">
        <v>0</v>
      </c>
      <c r="F170" s="122">
        <v>0</v>
      </c>
      <c r="G170" s="123">
        <f t="shared" si="40"/>
        <v>0</v>
      </c>
      <c r="H170" s="60">
        <v>0</v>
      </c>
      <c r="I170" s="60">
        <v>0</v>
      </c>
      <c r="J170" s="75">
        <f>K170</f>
        <v>34003.1</v>
      </c>
      <c r="K170" s="46">
        <v>34003.1</v>
      </c>
      <c r="L170" s="184" t="s">
        <v>104</v>
      </c>
      <c r="M170" s="72" t="s">
        <v>104</v>
      </c>
      <c r="N170" s="73">
        <f>SUM(O170:R170)</f>
        <v>0</v>
      </c>
      <c r="O170" s="71">
        <f>G170*K170</f>
        <v>0</v>
      </c>
      <c r="P170" s="73"/>
      <c r="Q170" s="73"/>
      <c r="R170" s="73"/>
      <c r="S170" s="207"/>
      <c r="T170" s="46">
        <f>H170*J170</f>
        <v>0</v>
      </c>
      <c r="U170" s="46">
        <f>I170*J170</f>
        <v>0</v>
      </c>
    </row>
    <row r="171" spans="1:26">
      <c r="A171" s="449"/>
      <c r="B171" s="453"/>
      <c r="C171" s="293" t="s">
        <v>106</v>
      </c>
      <c r="D171" s="64"/>
      <c r="E171" s="122">
        <f>E163++E164+E169</f>
        <v>410</v>
      </c>
      <c r="F171" s="122">
        <f>F163++F164+F169</f>
        <v>405</v>
      </c>
      <c r="G171" s="122">
        <f>G163++G164+G169</f>
        <v>408.33333333333331</v>
      </c>
      <c r="H171" s="60">
        <f>H163++H164+H169</f>
        <v>410</v>
      </c>
      <c r="I171" s="60">
        <f>I163++I164+I169</f>
        <v>410</v>
      </c>
      <c r="J171" s="73" t="s">
        <v>104</v>
      </c>
      <c r="K171" s="207" t="s">
        <v>104</v>
      </c>
      <c r="L171" s="185" t="s">
        <v>104</v>
      </c>
      <c r="M171" s="74" t="s">
        <v>104</v>
      </c>
      <c r="N171" s="103">
        <f>SUM(N163:N170)</f>
        <v>23129358.883333337</v>
      </c>
      <c r="O171" s="74">
        <f t="shared" ref="O171:U171" si="47">SUM(O163:O170)</f>
        <v>15542034.859999999</v>
      </c>
      <c r="P171" s="74">
        <f t="shared" si="47"/>
        <v>1634145.9166666665</v>
      </c>
      <c r="Q171" s="74"/>
      <c r="R171" s="103">
        <f t="shared" si="47"/>
        <v>5953178.1066666674</v>
      </c>
      <c r="S171" s="185"/>
      <c r="T171" s="185">
        <f t="shared" si="47"/>
        <v>23145823.466666669</v>
      </c>
      <c r="U171" s="185">
        <f t="shared" si="47"/>
        <v>23145823.466666669</v>
      </c>
      <c r="Z171" s="192"/>
    </row>
    <row r="172" spans="1:26" ht="82.95" customHeight="1">
      <c r="A172" s="449"/>
      <c r="B172" s="451" t="s">
        <v>239</v>
      </c>
      <c r="C172" s="61" t="s">
        <v>100</v>
      </c>
      <c r="D172" s="62" t="s">
        <v>101</v>
      </c>
      <c r="E172" s="122">
        <v>53</v>
      </c>
      <c r="F172" s="122">
        <v>44</v>
      </c>
      <c r="G172" s="123">
        <f t="shared" si="40"/>
        <v>50</v>
      </c>
      <c r="H172" s="60">
        <v>53</v>
      </c>
      <c r="I172" s="60">
        <v>53</v>
      </c>
      <c r="J172" s="107">
        <f>SUM(K172:M172)</f>
        <v>62175.83</v>
      </c>
      <c r="K172" s="220">
        <f>41240.72+1998.78</f>
        <v>43239.5</v>
      </c>
      <c r="L172" s="211">
        <f>4001.99</f>
        <v>4001.99</v>
      </c>
      <c r="M172" s="70">
        <v>14934.34</v>
      </c>
      <c r="N172" s="73">
        <f>SUM(O172:R172)</f>
        <v>3108791.5</v>
      </c>
      <c r="O172" s="73">
        <f>G172*K172</f>
        <v>2161975</v>
      </c>
      <c r="P172" s="73">
        <f>G172*L172</f>
        <v>200099.5</v>
      </c>
      <c r="Q172" s="73"/>
      <c r="R172" s="75">
        <f>G172*M172</f>
        <v>746717</v>
      </c>
      <c r="S172" s="46"/>
      <c r="T172" s="46">
        <f>N172</f>
        <v>3108791.5</v>
      </c>
      <c r="U172" s="46">
        <f>T172</f>
        <v>3108791.5</v>
      </c>
    </row>
    <row r="173" spans="1:26" ht="96.6">
      <c r="A173" s="449"/>
      <c r="B173" s="452"/>
      <c r="C173" s="61" t="s">
        <v>172</v>
      </c>
      <c r="D173" s="62" t="s">
        <v>101</v>
      </c>
      <c r="E173" s="122">
        <v>52</v>
      </c>
      <c r="F173" s="122">
        <v>53</v>
      </c>
      <c r="G173" s="123">
        <f t="shared" si="40"/>
        <v>52.333333333333336</v>
      </c>
      <c r="H173" s="60">
        <v>52</v>
      </c>
      <c r="I173" s="60">
        <v>52</v>
      </c>
      <c r="J173" s="107">
        <f>SUM(K173:M173)</f>
        <v>105416.72</v>
      </c>
      <c r="K173" s="220">
        <f>84481.61+1998.78</f>
        <v>86480.39</v>
      </c>
      <c r="L173" s="211">
        <f>4001.99</f>
        <v>4001.99</v>
      </c>
      <c r="M173" s="70">
        <v>14934.34</v>
      </c>
      <c r="N173" s="73">
        <f>SUM(O173:R173)</f>
        <v>5516808.3466666667</v>
      </c>
      <c r="O173" s="73">
        <f>G173*K173</f>
        <v>4525807.0766666671</v>
      </c>
      <c r="P173" s="73">
        <f>G173*L173</f>
        <v>209437.47666666665</v>
      </c>
      <c r="Q173" s="73"/>
      <c r="R173" s="75">
        <f>G173*M173</f>
        <v>781563.79333333333</v>
      </c>
      <c r="S173" s="46"/>
      <c r="T173" s="46">
        <f>N173</f>
        <v>5516808.3466666667</v>
      </c>
      <c r="U173" s="46">
        <f>T173</f>
        <v>5516808.3466666667</v>
      </c>
    </row>
    <row r="174" spans="1:26" ht="82.8">
      <c r="A174" s="449"/>
      <c r="B174" s="452"/>
      <c r="C174" s="63" t="s">
        <v>102</v>
      </c>
      <c r="D174" s="64" t="s">
        <v>101</v>
      </c>
      <c r="E174" s="123" t="s">
        <v>104</v>
      </c>
      <c r="F174" s="123" t="s">
        <v>104</v>
      </c>
      <c r="G174" s="123" t="s">
        <v>104</v>
      </c>
      <c r="H174" s="59" t="s">
        <v>104</v>
      </c>
      <c r="I174" s="59" t="s">
        <v>104</v>
      </c>
      <c r="J174" s="59" t="s">
        <v>104</v>
      </c>
      <c r="K174" s="123" t="s">
        <v>104</v>
      </c>
      <c r="L174" s="123" t="s">
        <v>104</v>
      </c>
      <c r="M174" s="59" t="s">
        <v>104</v>
      </c>
      <c r="N174" s="71"/>
      <c r="O174" s="71"/>
      <c r="P174" s="59" t="s">
        <v>104</v>
      </c>
      <c r="Q174" s="59"/>
      <c r="R174" s="59" t="s">
        <v>104</v>
      </c>
      <c r="S174" s="123"/>
      <c r="T174" s="46"/>
      <c r="U174" s="46"/>
    </row>
    <row r="175" spans="1:26">
      <c r="A175" s="449"/>
      <c r="B175" s="452"/>
      <c r="C175" s="63" t="s">
        <v>168</v>
      </c>
      <c r="D175" s="64" t="s">
        <v>101</v>
      </c>
      <c r="E175" s="122">
        <v>1</v>
      </c>
      <c r="F175" s="122">
        <v>1</v>
      </c>
      <c r="G175" s="123">
        <f>((E175*8)+(F175*4))/12</f>
        <v>1</v>
      </c>
      <c r="H175" s="60">
        <v>1</v>
      </c>
      <c r="I175" s="60">
        <v>1</v>
      </c>
      <c r="J175" s="75">
        <f>K175</f>
        <v>23678.79</v>
      </c>
      <c r="K175" s="46">
        <v>23678.79</v>
      </c>
      <c r="L175" s="123" t="s">
        <v>104</v>
      </c>
      <c r="M175" s="59" t="s">
        <v>104</v>
      </c>
      <c r="N175" s="71">
        <f>O175</f>
        <v>23678.79</v>
      </c>
      <c r="O175" s="71">
        <f>G175*K175</f>
        <v>23678.79</v>
      </c>
      <c r="P175" s="59" t="s">
        <v>104</v>
      </c>
      <c r="Q175" s="59"/>
      <c r="R175" s="59" t="s">
        <v>104</v>
      </c>
      <c r="S175" s="123"/>
      <c r="T175" s="46">
        <f>H175*K175</f>
        <v>23678.79</v>
      </c>
      <c r="U175" s="46">
        <f>I175*K175</f>
        <v>23678.79</v>
      </c>
    </row>
    <row r="176" spans="1:26" ht="83.4" customHeight="1">
      <c r="A176" s="449"/>
      <c r="B176" s="452"/>
      <c r="C176" s="61" t="s">
        <v>105</v>
      </c>
      <c r="D176" s="64" t="s">
        <v>101</v>
      </c>
      <c r="E176" s="122"/>
      <c r="F176" s="122"/>
      <c r="G176" s="123">
        <f>((E176*8)+(F176*4))/12</f>
        <v>0</v>
      </c>
      <c r="H176" s="60"/>
      <c r="I176" s="60"/>
      <c r="J176" s="75">
        <f>SUM(K176:M176)</f>
        <v>202413.96999999997</v>
      </c>
      <c r="K176" s="46">
        <f>181478.86+1998.78</f>
        <v>183477.63999999998</v>
      </c>
      <c r="L176" s="211">
        <f>4001.99</f>
        <v>4001.99</v>
      </c>
      <c r="M176" s="70">
        <v>14934.34</v>
      </c>
      <c r="N176" s="73"/>
      <c r="O176" s="73"/>
      <c r="P176" s="73"/>
      <c r="Q176" s="73"/>
      <c r="R176" s="73"/>
      <c r="S176" s="207"/>
      <c r="T176" s="46">
        <f>H176*J176</f>
        <v>0</v>
      </c>
      <c r="U176" s="46">
        <f>I176*J176</f>
        <v>0</v>
      </c>
    </row>
    <row r="177" spans="1:27">
      <c r="A177" s="449"/>
      <c r="B177" s="453"/>
      <c r="C177" s="293" t="s">
        <v>106</v>
      </c>
      <c r="D177" s="64"/>
      <c r="E177" s="122">
        <f>E172+E176+E173</f>
        <v>105</v>
      </c>
      <c r="F177" s="122">
        <f>F172+F176+F173</f>
        <v>97</v>
      </c>
      <c r="G177" s="122">
        <f>G172+G176+G173</f>
        <v>102.33333333333334</v>
      </c>
      <c r="H177" s="60">
        <f>H172+H176+H173</f>
        <v>105</v>
      </c>
      <c r="I177" s="60">
        <f>I172+I176+I173</f>
        <v>105</v>
      </c>
      <c r="J177" s="73" t="s">
        <v>104</v>
      </c>
      <c r="K177" s="207" t="s">
        <v>104</v>
      </c>
      <c r="L177" s="185" t="s">
        <v>104</v>
      </c>
      <c r="M177" s="74" t="s">
        <v>104</v>
      </c>
      <c r="N177" s="103">
        <f>SUM(N172:N176)</f>
        <v>8649278.6366666667</v>
      </c>
      <c r="O177" s="74">
        <f t="shared" ref="O177:U177" si="48">SUM(O172:O176)</f>
        <v>6711460.8666666672</v>
      </c>
      <c r="P177" s="74">
        <f t="shared" si="48"/>
        <v>409536.97666666668</v>
      </c>
      <c r="Q177" s="74"/>
      <c r="R177" s="103">
        <f t="shared" si="48"/>
        <v>1528280.7933333335</v>
      </c>
      <c r="S177" s="185"/>
      <c r="T177" s="185">
        <f>SUM(T172:T176)</f>
        <v>8649278.6366666667</v>
      </c>
      <c r="U177" s="185">
        <f t="shared" si="48"/>
        <v>8649278.6366666667</v>
      </c>
      <c r="V177" s="192"/>
      <c r="W177" s="192">
        <f>V177-N188</f>
        <v>-56474744.75</v>
      </c>
      <c r="Z177" s="192"/>
    </row>
    <row r="178" spans="1:27" ht="102" customHeight="1">
      <c r="A178" s="449"/>
      <c r="B178" s="137" t="s">
        <v>240</v>
      </c>
      <c r="C178" s="61" t="s">
        <v>255</v>
      </c>
      <c r="D178" s="64" t="s">
        <v>101</v>
      </c>
      <c r="E178" s="122">
        <v>1247</v>
      </c>
      <c r="F178" s="122">
        <v>2379</v>
      </c>
      <c r="G178" s="123">
        <f>((E178*8)+(F178*4))/12</f>
        <v>1624.3333333333333</v>
      </c>
      <c r="H178" s="60">
        <v>1490</v>
      </c>
      <c r="I178" s="60">
        <v>1490</v>
      </c>
      <c r="J178" s="75">
        <f>K178</f>
        <v>3978.73</v>
      </c>
      <c r="K178" s="46">
        <v>3978.73</v>
      </c>
      <c r="L178" s="184" t="s">
        <v>104</v>
      </c>
      <c r="M178" s="72" t="s">
        <v>104</v>
      </c>
      <c r="N178" s="73">
        <f>SUM(O178:R178)</f>
        <v>6462783.7633333327</v>
      </c>
      <c r="O178" s="73">
        <f>G178*K178</f>
        <v>6462783.7633333327</v>
      </c>
      <c r="P178" s="73" t="s">
        <v>104</v>
      </c>
      <c r="Q178" s="73"/>
      <c r="R178" s="73" t="s">
        <v>104</v>
      </c>
      <c r="S178" s="207"/>
      <c r="T178" s="46">
        <f>H178*J178</f>
        <v>5928307.7000000002</v>
      </c>
      <c r="U178" s="46">
        <f t="shared" ref="U178:U183" si="49">T178</f>
        <v>5928307.7000000002</v>
      </c>
      <c r="V178" s="182">
        <v>56750133</v>
      </c>
      <c r="W178" s="192">
        <f>V178-T188</f>
        <v>982256.45666666329</v>
      </c>
      <c r="X178" s="279">
        <f>G162+G171+G177</f>
        <v>835</v>
      </c>
    </row>
    <row r="179" spans="1:27" ht="128.4" customHeight="1">
      <c r="A179" s="449"/>
      <c r="B179" s="137"/>
      <c r="C179" s="61" t="s">
        <v>254</v>
      </c>
      <c r="D179" s="64" t="s">
        <v>101</v>
      </c>
      <c r="E179" s="122"/>
      <c r="F179" s="122"/>
      <c r="G179" s="215">
        <v>495</v>
      </c>
      <c r="H179" s="59">
        <v>495</v>
      </c>
      <c r="I179" s="59">
        <v>495</v>
      </c>
      <c r="J179" s="73" t="s">
        <v>104</v>
      </c>
      <c r="K179" s="207" t="s">
        <v>104</v>
      </c>
      <c r="L179" s="185" t="s">
        <v>104</v>
      </c>
      <c r="M179" s="100">
        <v>0</v>
      </c>
      <c r="N179" s="73">
        <f>R179</f>
        <v>0</v>
      </c>
      <c r="O179" s="73"/>
      <c r="P179" s="73"/>
      <c r="Q179" s="73"/>
      <c r="R179" s="75">
        <f>G179*M179</f>
        <v>0</v>
      </c>
      <c r="S179" s="207"/>
      <c r="T179" s="46">
        <f>N179</f>
        <v>0</v>
      </c>
      <c r="U179" s="46">
        <f t="shared" si="49"/>
        <v>0</v>
      </c>
      <c r="W179" s="182">
        <f>W178/3</f>
        <v>327418.81888888776</v>
      </c>
      <c r="X179" s="192">
        <f>V188-R179</f>
        <v>10442370.34</v>
      </c>
      <c r="Y179" s="182">
        <f>X179/G188</f>
        <v>12505.832742514969</v>
      </c>
      <c r="Z179" s="182">
        <f>Y179*X178</f>
        <v>10442370.34</v>
      </c>
    </row>
    <row r="180" spans="1:27">
      <c r="A180" s="449"/>
      <c r="B180" s="69"/>
      <c r="C180" s="293" t="s">
        <v>106</v>
      </c>
      <c r="D180" s="69"/>
      <c r="E180" s="122">
        <f>SUM(E178:E178)</f>
        <v>1247</v>
      </c>
      <c r="F180" s="122">
        <f>SUM(F178:F178)</f>
        <v>2379</v>
      </c>
      <c r="G180" s="122">
        <f>SUM(G178:G178)</f>
        <v>1624.3333333333333</v>
      </c>
      <c r="H180" s="60">
        <f>SUM(H178:H178)</f>
        <v>1490</v>
      </c>
      <c r="I180" s="60">
        <f>SUM(I178:I178)</f>
        <v>1490</v>
      </c>
      <c r="J180" s="73" t="s">
        <v>104</v>
      </c>
      <c r="K180" s="207" t="s">
        <v>104</v>
      </c>
      <c r="L180" s="185" t="s">
        <v>104</v>
      </c>
      <c r="M180" s="74">
        <f>SUM(M178:M178)</f>
        <v>0</v>
      </c>
      <c r="N180" s="103">
        <f>SUM(N178:N179)</f>
        <v>6462783.7633333327</v>
      </c>
      <c r="O180" s="74">
        <f>SUM(O178:O178)</f>
        <v>6462783.7633333327</v>
      </c>
      <c r="P180" s="74">
        <f>SUM(P178:P178)</f>
        <v>0</v>
      </c>
      <c r="Q180" s="74"/>
      <c r="R180" s="74">
        <f>SUM(R178:R179)</f>
        <v>0</v>
      </c>
      <c r="S180" s="185"/>
      <c r="T180" s="185">
        <f>SUM(T178:T179)</f>
        <v>5928307.7000000002</v>
      </c>
      <c r="U180" s="46">
        <f t="shared" si="49"/>
        <v>5928307.7000000002</v>
      </c>
      <c r="Z180" s="192">
        <f>Z179+R179</f>
        <v>10442370.34</v>
      </c>
    </row>
    <row r="181" spans="1:27" ht="13.95" hidden="1" customHeight="1">
      <c r="A181" s="449"/>
      <c r="B181" s="69" t="s">
        <v>283</v>
      </c>
      <c r="C181" s="66" t="s">
        <v>226</v>
      </c>
      <c r="D181" s="69"/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P181</f>
        <v>0</v>
      </c>
      <c r="O181" s="74"/>
      <c r="P181" s="74"/>
      <c r="Q181" s="74"/>
      <c r="R181" s="74"/>
      <c r="S181" s="185"/>
      <c r="T181" s="46">
        <f>P181</f>
        <v>0</v>
      </c>
      <c r="U181" s="46">
        <f t="shared" si="49"/>
        <v>0</v>
      </c>
      <c r="Z181" s="192"/>
    </row>
    <row r="182" spans="1:27" ht="13.95" hidden="1" customHeight="1">
      <c r="A182" s="449"/>
      <c r="B182" s="89" t="s">
        <v>225</v>
      </c>
      <c r="C182" s="181" t="s">
        <v>219</v>
      </c>
      <c r="D182" s="64" t="s">
        <v>101</v>
      </c>
      <c r="E182" s="122"/>
      <c r="F182" s="122"/>
      <c r="G182" s="122">
        <v>4</v>
      </c>
      <c r="H182" s="60">
        <v>4</v>
      </c>
      <c r="I182" s="60">
        <v>4</v>
      </c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>
        <f>S182</f>
        <v>0</v>
      </c>
      <c r="U182" s="46">
        <f t="shared" si="49"/>
        <v>0</v>
      </c>
      <c r="V182" s="192"/>
    </row>
    <row r="183" spans="1:27" ht="13.95" hidden="1" customHeight="1">
      <c r="A183" s="449"/>
      <c r="B183" s="89" t="s">
        <v>225</v>
      </c>
      <c r="C183" s="181" t="s">
        <v>226</v>
      </c>
      <c r="D183" s="64" t="s">
        <v>101</v>
      </c>
      <c r="E183" s="122"/>
      <c r="F183" s="122"/>
      <c r="G183" s="122"/>
      <c r="H183" s="60"/>
      <c r="I183" s="60"/>
      <c r="J183" s="73"/>
      <c r="K183" s="207"/>
      <c r="L183" s="185"/>
      <c r="M183" s="74"/>
      <c r="N183" s="74">
        <f>S183</f>
        <v>0</v>
      </c>
      <c r="O183" s="74"/>
      <c r="P183" s="74"/>
      <c r="Q183" s="74"/>
      <c r="R183" s="74"/>
      <c r="S183" s="185"/>
      <c r="T183" s="46">
        <f>Q183</f>
        <v>0</v>
      </c>
      <c r="U183" s="46">
        <f t="shared" si="49"/>
        <v>0</v>
      </c>
      <c r="V183" s="192"/>
    </row>
    <row r="184" spans="1:27" ht="13.95" hidden="1" customHeight="1">
      <c r="A184" s="449"/>
      <c r="B184" s="89" t="s">
        <v>282</v>
      </c>
      <c r="C184" s="181" t="s">
        <v>219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S184</f>
        <v>0</v>
      </c>
      <c r="O184" s="74"/>
      <c r="P184" s="74"/>
      <c r="Q184" s="74"/>
      <c r="R184" s="74"/>
      <c r="S184" s="185"/>
      <c r="T184" s="46"/>
      <c r="U184" s="46"/>
      <c r="V184" s="192"/>
    </row>
    <row r="185" spans="1:27">
      <c r="A185" s="449"/>
      <c r="B185" s="89" t="s">
        <v>289</v>
      </c>
      <c r="C185" s="181" t="s">
        <v>226</v>
      </c>
      <c r="D185" s="64"/>
      <c r="E185" s="122">
        <v>31</v>
      </c>
      <c r="F185" s="122">
        <v>31</v>
      </c>
      <c r="G185" s="122">
        <v>31</v>
      </c>
      <c r="H185" s="60">
        <v>31</v>
      </c>
      <c r="I185" s="60">
        <v>31</v>
      </c>
      <c r="J185" s="73"/>
      <c r="K185" s="207"/>
      <c r="L185" s="185"/>
      <c r="M185" s="74"/>
      <c r="N185" s="74">
        <f>O185</f>
        <v>3632580</v>
      </c>
      <c r="O185" s="74">
        <v>3632580</v>
      </c>
      <c r="P185" s="74"/>
      <c r="Q185" s="74"/>
      <c r="R185" s="74"/>
      <c r="S185" s="185"/>
      <c r="T185" s="46">
        <v>3632580</v>
      </c>
      <c r="U185" s="46">
        <f>T185</f>
        <v>3632580</v>
      </c>
      <c r="V185" s="192"/>
    </row>
    <row r="186" spans="1:27" ht="13.95" hidden="1" customHeight="1">
      <c r="A186" s="449"/>
      <c r="B186" s="89" t="s">
        <v>257</v>
      </c>
      <c r="C186" s="181" t="s">
        <v>226</v>
      </c>
      <c r="D186" s="64"/>
      <c r="E186" s="122"/>
      <c r="F186" s="122"/>
      <c r="G186" s="122"/>
      <c r="H186" s="60"/>
      <c r="I186" s="60"/>
      <c r="J186" s="73"/>
      <c r="K186" s="207"/>
      <c r="L186" s="185"/>
      <c r="M186" s="74"/>
      <c r="N186" s="74">
        <f>O186</f>
        <v>0</v>
      </c>
      <c r="O186" s="74"/>
      <c r="P186" s="74"/>
      <c r="Q186" s="74"/>
      <c r="R186" s="74"/>
      <c r="S186" s="185"/>
      <c r="T186" s="46">
        <f>O186</f>
        <v>0</v>
      </c>
      <c r="U186" s="46">
        <f>T186</f>
        <v>0</v>
      </c>
    </row>
    <row r="187" spans="1:27" ht="13.95" hidden="1" customHeight="1">
      <c r="A187" s="449"/>
      <c r="B187" s="89" t="s">
        <v>290</v>
      </c>
      <c r="C187" s="181" t="s">
        <v>226</v>
      </c>
      <c r="D187" s="64"/>
      <c r="E187" s="122"/>
      <c r="F187" s="122"/>
      <c r="G187" s="122"/>
      <c r="H187" s="60"/>
      <c r="I187" s="60"/>
      <c r="J187" s="73"/>
      <c r="K187" s="207"/>
      <c r="L187" s="185"/>
      <c r="M187" s="74"/>
      <c r="N187" s="74">
        <f>P187</f>
        <v>0</v>
      </c>
      <c r="O187" s="74"/>
      <c r="P187" s="74"/>
      <c r="Q187" s="74"/>
      <c r="R187" s="74"/>
      <c r="S187" s="185"/>
      <c r="T187" s="46"/>
      <c r="U187" s="46">
        <f>T187</f>
        <v>0</v>
      </c>
    </row>
    <row r="188" spans="1:27">
      <c r="A188" s="449"/>
      <c r="B188" s="101" t="s">
        <v>112</v>
      </c>
      <c r="C188" s="101"/>
      <c r="D188" s="69"/>
      <c r="E188" s="102">
        <f>E162+E171+E177</f>
        <v>841</v>
      </c>
      <c r="F188" s="102">
        <f>F162+F171+F177</f>
        <v>823</v>
      </c>
      <c r="G188" s="102">
        <f>G162+G171+G177</f>
        <v>835</v>
      </c>
      <c r="H188" s="102">
        <f>H162+H171+H177</f>
        <v>841</v>
      </c>
      <c r="I188" s="102">
        <f>I162+I171+I177</f>
        <v>841</v>
      </c>
      <c r="J188" s="104"/>
      <c r="K188" s="221"/>
      <c r="L188" s="138"/>
      <c r="M188" s="103"/>
      <c r="N188" s="103">
        <f>SUM(O188:S188)</f>
        <v>56474744.75</v>
      </c>
      <c r="O188" s="103">
        <f>O162+O171+O177+O180+O181+O182+O183+O185+O187</f>
        <v>41009038.536666669</v>
      </c>
      <c r="P188" s="103">
        <f>P162+P171+P177+P180+P181+P182+P183+P187</f>
        <v>3341661.6499999994</v>
      </c>
      <c r="Q188" s="103">
        <f>Q162+Q171+Q177+Q180+Q181+Q182+Q183</f>
        <v>0</v>
      </c>
      <c r="R188" s="136">
        <f>R162+R171+R177+R180+R181+R182+R183+R184</f>
        <v>12124044.563333333</v>
      </c>
      <c r="S188" s="138">
        <f>S162+S171+S177+S180+S181+S182+S183+S184</f>
        <v>0</v>
      </c>
      <c r="T188" s="138">
        <f>T162+T171+T177+T180+T181+T182+T183+T184+T185+T186+T187</f>
        <v>55767876.543333337</v>
      </c>
      <c r="U188" s="138">
        <f>U162+U171+U177+U180+U181+U182+U183+U184+U185+U186+U187</f>
        <v>55767876.543333337</v>
      </c>
      <c r="V188" s="182">
        <v>10442370.34</v>
      </c>
      <c r="W188" s="192">
        <f>V188-R188</f>
        <v>-1681674.2233333327</v>
      </c>
      <c r="X188" s="182">
        <f>W188/G188</f>
        <v>-2013.9811057884224</v>
      </c>
      <c r="Z188" s="192">
        <f>N188-T188</f>
        <v>706868.20666666329</v>
      </c>
      <c r="AA188" s="284"/>
    </row>
    <row r="189" spans="1:27" ht="193.2">
      <c r="A189" s="449" t="s">
        <v>119</v>
      </c>
      <c r="B189" s="450" t="s">
        <v>237</v>
      </c>
      <c r="C189" s="61" t="s">
        <v>120</v>
      </c>
      <c r="D189" s="62" t="s">
        <v>121</v>
      </c>
      <c r="E189" s="215" t="s">
        <v>320</v>
      </c>
      <c r="F189" s="215"/>
      <c r="G189" s="215" t="s">
        <v>385</v>
      </c>
      <c r="H189" s="215" t="s">
        <v>320</v>
      </c>
      <c r="I189" s="215" t="s">
        <v>320</v>
      </c>
      <c r="J189" s="107" t="s">
        <v>347</v>
      </c>
      <c r="K189" s="220" t="s">
        <v>342</v>
      </c>
      <c r="L189" s="211" t="s">
        <v>185</v>
      </c>
      <c r="M189" s="70" t="s">
        <v>353</v>
      </c>
      <c r="N189" s="71">
        <f>SUM(O189:R189)</f>
        <v>1971646.5733333332</v>
      </c>
      <c r="O189" s="71">
        <f>((((672261.79*2/12*8)+(672261.79*0/12*4))+((1351.63*44)/12*8+(1351.63*0)/12*4)))</f>
        <v>935996.8666666667</v>
      </c>
      <c r="P189" s="71">
        <f>((4001.99*44)/12*8)+((4001.99*0)/12*4)</f>
        <v>117391.70666666667</v>
      </c>
      <c r="Q189" s="71"/>
      <c r="R189" s="75">
        <f>((20869.5*44)/12*8)+((20869.5*44)/12*4)</f>
        <v>918258</v>
      </c>
      <c r="S189" s="46"/>
      <c r="T189" s="46">
        <f>N189</f>
        <v>1971646.5733333332</v>
      </c>
      <c r="U189" s="46">
        <f>T189</f>
        <v>1971646.5733333332</v>
      </c>
      <c r="V189" s="182">
        <f>N189/3</f>
        <v>657215.52444444445</v>
      </c>
      <c r="W189" s="182">
        <f>12300.53*67</f>
        <v>824135.51</v>
      </c>
      <c r="X189" s="182">
        <f>1342.39+12011.78+(4001.99*2.3654)</f>
        <v>22820.477146000001</v>
      </c>
      <c r="Y189" s="182">
        <f>4001.99*2.3654</f>
        <v>9466.307146000001</v>
      </c>
    </row>
    <row r="190" spans="1:27" ht="179.4">
      <c r="A190" s="449"/>
      <c r="B190" s="450"/>
      <c r="C190" s="61" t="s">
        <v>128</v>
      </c>
      <c r="D190" s="62" t="s">
        <v>121</v>
      </c>
      <c r="E190" s="215" t="s">
        <v>140</v>
      </c>
      <c r="F190" s="215" t="s">
        <v>383</v>
      </c>
      <c r="G190" s="215" t="s">
        <v>384</v>
      </c>
      <c r="H190" s="215" t="s">
        <v>140</v>
      </c>
      <c r="I190" s="215" t="s">
        <v>140</v>
      </c>
      <c r="J190" s="107" t="s">
        <v>348</v>
      </c>
      <c r="K190" s="220" t="s">
        <v>343</v>
      </c>
      <c r="L190" s="211" t="s">
        <v>185</v>
      </c>
      <c r="M190" s="70" t="s">
        <v>353</v>
      </c>
      <c r="N190" s="71">
        <f>SUM(O190:R190)</f>
        <v>3616652.476666667</v>
      </c>
      <c r="O190" s="71">
        <f>((((631732.78*3)/12*8+(631732.78*5)/12*4)+((1351.63*47)/12*8+(1351.63*85)/12*4)))</f>
        <v>2397000.7833333337</v>
      </c>
      <c r="P190" s="71">
        <f>((4001.99*47)/12*8)+((4001.99*85)/12*4)</f>
        <v>238785.40333333332</v>
      </c>
      <c r="Q190" s="71"/>
      <c r="R190" s="75">
        <f>((20869.5*47)/12*8)+((20869.5*47)/12*4)-0.21</f>
        <v>980866.29</v>
      </c>
      <c r="S190" s="46"/>
      <c r="T190" s="46">
        <f>N190</f>
        <v>3616652.476666667</v>
      </c>
      <c r="U190" s="46">
        <f>T190</f>
        <v>3616652.476666667</v>
      </c>
      <c r="W190" s="182">
        <f>12300.53*19</f>
        <v>233710.07</v>
      </c>
    </row>
    <row r="191" spans="1:27" ht="82.8">
      <c r="A191" s="449"/>
      <c r="B191" s="450"/>
      <c r="C191" s="63" t="s">
        <v>102</v>
      </c>
      <c r="D191" s="64" t="s">
        <v>101</v>
      </c>
      <c r="E191" s="216"/>
      <c r="F191" s="216"/>
      <c r="G191" s="216"/>
      <c r="H191" s="65"/>
      <c r="I191" s="65"/>
      <c r="J191" s="150" t="s">
        <v>103</v>
      </c>
      <c r="K191" s="208" t="s">
        <v>103</v>
      </c>
      <c r="L191" s="208" t="s">
        <v>103</v>
      </c>
      <c r="M191" s="150" t="s">
        <v>103</v>
      </c>
      <c r="N191" s="71">
        <f t="shared" ref="N191:N196" si="50">SUM(O191:R191)</f>
        <v>0</v>
      </c>
      <c r="O191" s="150" t="s">
        <v>103</v>
      </c>
      <c r="P191" s="150" t="s">
        <v>103</v>
      </c>
      <c r="Q191" s="150"/>
      <c r="R191" s="150" t="s">
        <v>103</v>
      </c>
      <c r="S191" s="208"/>
      <c r="T191" s="46">
        <f t="shared" ref="T191:T196" si="51">N191</f>
        <v>0</v>
      </c>
      <c r="U191" s="46">
        <f t="shared" ref="U191:U196" si="52">T191</f>
        <v>0</v>
      </c>
    </row>
    <row r="192" spans="1:27">
      <c r="A192" s="449"/>
      <c r="B192" s="450"/>
      <c r="C192" s="63" t="s">
        <v>169</v>
      </c>
      <c r="D192" s="64" t="s">
        <v>101</v>
      </c>
      <c r="E192" s="123">
        <v>1</v>
      </c>
      <c r="F192" s="123">
        <v>2</v>
      </c>
      <c r="G192" s="123">
        <f>((E192*8)+(F192*4))/12</f>
        <v>1.3333333333333333</v>
      </c>
      <c r="H192" s="59">
        <v>1</v>
      </c>
      <c r="I192" s="59">
        <v>1</v>
      </c>
      <c r="J192" s="75">
        <f>K192</f>
        <v>83951.08</v>
      </c>
      <c r="K192" s="46">
        <v>83951.08</v>
      </c>
      <c r="L192" s="208"/>
      <c r="M192" s="150"/>
      <c r="N192" s="71"/>
      <c r="O192" s="71">
        <f>G192*K192</f>
        <v>111934.77333333333</v>
      </c>
      <c r="P192" s="150"/>
      <c r="Q192" s="150"/>
      <c r="R192" s="150"/>
      <c r="S192" s="208"/>
      <c r="T192" s="46">
        <f>H192*K192</f>
        <v>83951.08</v>
      </c>
      <c r="U192" s="46">
        <f>T192</f>
        <v>83951.08</v>
      </c>
    </row>
    <row r="193" spans="1:24">
      <c r="A193" s="449"/>
      <c r="B193" s="450"/>
      <c r="C193" s="63" t="s">
        <v>166</v>
      </c>
      <c r="D193" s="64" t="s">
        <v>101</v>
      </c>
      <c r="E193" s="123">
        <v>6</v>
      </c>
      <c r="F193" s="123">
        <v>4</v>
      </c>
      <c r="G193" s="123">
        <f>((E193*8)+(F193*4))/12</f>
        <v>5.333333333333333</v>
      </c>
      <c r="H193" s="59">
        <v>6</v>
      </c>
      <c r="I193" s="59">
        <v>6</v>
      </c>
      <c r="J193" s="75">
        <f>K193</f>
        <v>80305.41</v>
      </c>
      <c r="K193" s="46">
        <v>80305.41</v>
      </c>
      <c r="L193" s="184"/>
      <c r="M193" s="72"/>
      <c r="N193" s="71">
        <f t="shared" si="50"/>
        <v>428295.52</v>
      </c>
      <c r="O193" s="71">
        <f t="shared" ref="O193:O194" si="53">G193*K193</f>
        <v>428295.52</v>
      </c>
      <c r="P193" s="71"/>
      <c r="Q193" s="71"/>
      <c r="R193" s="118"/>
      <c r="S193" s="209"/>
      <c r="T193" s="46">
        <f t="shared" si="51"/>
        <v>428295.52</v>
      </c>
      <c r="U193" s="46">
        <f t="shared" si="52"/>
        <v>428295.52</v>
      </c>
    </row>
    <row r="194" spans="1:24">
      <c r="A194" s="449"/>
      <c r="B194" s="450"/>
      <c r="C194" s="63" t="s">
        <v>317</v>
      </c>
      <c r="D194" s="64" t="s">
        <v>101</v>
      </c>
      <c r="E194" s="123"/>
      <c r="F194" s="123">
        <v>1</v>
      </c>
      <c r="G194" s="123">
        <f>((E194*8)+(F194*4))/12</f>
        <v>0.33333333333333331</v>
      </c>
      <c r="H194" s="59"/>
      <c r="I194" s="59"/>
      <c r="J194" s="75">
        <f>K194</f>
        <v>361287.38</v>
      </c>
      <c r="K194" s="46">
        <v>361287.38</v>
      </c>
      <c r="L194" s="184"/>
      <c r="M194" s="72"/>
      <c r="N194" s="71">
        <f t="shared" si="50"/>
        <v>120429.12666666666</v>
      </c>
      <c r="O194" s="71">
        <f t="shared" si="53"/>
        <v>120429.12666666666</v>
      </c>
      <c r="P194" s="71"/>
      <c r="Q194" s="71"/>
      <c r="R194" s="118"/>
      <c r="S194" s="209"/>
      <c r="T194" s="46">
        <f t="shared" si="51"/>
        <v>120429.12666666666</v>
      </c>
      <c r="U194" s="46">
        <f t="shared" si="52"/>
        <v>120429.12666666666</v>
      </c>
    </row>
    <row r="195" spans="1:24" ht="83.4" customHeight="1">
      <c r="A195" s="449"/>
      <c r="B195" s="450"/>
      <c r="C195" s="61" t="s">
        <v>173</v>
      </c>
      <c r="D195" s="64" t="s">
        <v>101</v>
      </c>
      <c r="E195" s="123">
        <v>1</v>
      </c>
      <c r="F195" s="123">
        <v>1</v>
      </c>
      <c r="G195" s="123">
        <f>((E195*8)+(F195*4))/12</f>
        <v>1</v>
      </c>
      <c r="H195" s="59">
        <v>1</v>
      </c>
      <c r="I195" s="59">
        <v>1</v>
      </c>
      <c r="J195" s="75">
        <f>K195</f>
        <v>182510.30000000002</v>
      </c>
      <c r="K195" s="46">
        <f>181158.67+1351.63</f>
        <v>182510.30000000002</v>
      </c>
      <c r="L195" s="211" t="s">
        <v>185</v>
      </c>
      <c r="M195" s="70" t="s">
        <v>353</v>
      </c>
      <c r="N195" s="71">
        <f t="shared" si="50"/>
        <v>207381.79</v>
      </c>
      <c r="O195" s="71">
        <f>G195*K195</f>
        <v>182510.30000000002</v>
      </c>
      <c r="P195" s="71">
        <f>G195*4001.99</f>
        <v>4001.99</v>
      </c>
      <c r="Q195" s="71"/>
      <c r="R195" s="71">
        <f>G195*20869.5</f>
        <v>20869.5</v>
      </c>
      <c r="S195" s="209"/>
      <c r="T195" s="46">
        <f>N195</f>
        <v>207381.79</v>
      </c>
      <c r="U195" s="46">
        <f t="shared" si="52"/>
        <v>207381.79</v>
      </c>
    </row>
    <row r="196" spans="1:24" ht="82.8">
      <c r="A196" s="449"/>
      <c r="B196" s="450"/>
      <c r="C196" s="61" t="s">
        <v>174</v>
      </c>
      <c r="D196" s="64" t="s">
        <v>101</v>
      </c>
      <c r="E196" s="123"/>
      <c r="F196" s="123"/>
      <c r="G196" s="123">
        <f>((E196*8)+(F196*4))/12</f>
        <v>0</v>
      </c>
      <c r="H196" s="59"/>
      <c r="I196" s="59"/>
      <c r="J196" s="75">
        <f>K196</f>
        <v>25935.439999999999</v>
      </c>
      <c r="K196" s="46">
        <v>25935.439999999999</v>
      </c>
      <c r="L196" s="205" t="s">
        <v>104</v>
      </c>
      <c r="M196" s="71" t="s">
        <v>104</v>
      </c>
      <c r="N196" s="71">
        <f t="shared" si="50"/>
        <v>0</v>
      </c>
      <c r="O196" s="71">
        <f>G196*K196</f>
        <v>0</v>
      </c>
      <c r="P196" s="71" t="s">
        <v>104</v>
      </c>
      <c r="Q196" s="71"/>
      <c r="R196" s="118" t="s">
        <v>104</v>
      </c>
      <c r="S196" s="209"/>
      <c r="T196" s="46">
        <f t="shared" si="51"/>
        <v>0</v>
      </c>
      <c r="U196" s="46">
        <f t="shared" si="52"/>
        <v>0</v>
      </c>
    </row>
    <row r="197" spans="1:24">
      <c r="A197" s="449"/>
      <c r="B197" s="450"/>
      <c r="C197" s="293" t="s">
        <v>106</v>
      </c>
      <c r="D197" s="67"/>
      <c r="E197" s="215" t="s">
        <v>321</v>
      </c>
      <c r="F197" s="215" t="s">
        <v>386</v>
      </c>
      <c r="G197" s="215" t="s">
        <v>387</v>
      </c>
      <c r="H197" s="215" t="s">
        <v>321</v>
      </c>
      <c r="I197" s="215" t="s">
        <v>321</v>
      </c>
      <c r="J197" s="71" t="s">
        <v>104</v>
      </c>
      <c r="K197" s="205" t="s">
        <v>104</v>
      </c>
      <c r="L197" s="205" t="s">
        <v>104</v>
      </c>
      <c r="M197" s="71" t="s">
        <v>104</v>
      </c>
      <c r="N197" s="118">
        <f>SUM(O197:R197)</f>
        <v>6456340.2599999998</v>
      </c>
      <c r="O197" s="71">
        <f>SUM(O189:O196)</f>
        <v>4176167.37</v>
      </c>
      <c r="P197" s="71">
        <f>SUM(P189:P196)</f>
        <v>360179.1</v>
      </c>
      <c r="Q197" s="71"/>
      <c r="R197" s="118">
        <f>SUM(R189:R196)</f>
        <v>1919993.79</v>
      </c>
      <c r="S197" s="205"/>
      <c r="T197" s="285">
        <f>SUM(T189:T196)</f>
        <v>6428356.5666666673</v>
      </c>
      <c r="U197" s="205">
        <f>SUM(U189:U196)</f>
        <v>6428356.5666666673</v>
      </c>
    </row>
    <row r="198" spans="1:24" ht="193.2">
      <c r="A198" s="449"/>
      <c r="B198" s="450" t="s">
        <v>238</v>
      </c>
      <c r="C198" s="61" t="s">
        <v>120</v>
      </c>
      <c r="D198" s="62" t="s">
        <v>121</v>
      </c>
      <c r="E198" s="215" t="s">
        <v>122</v>
      </c>
      <c r="F198" s="215" t="s">
        <v>390</v>
      </c>
      <c r="G198" s="215" t="s">
        <v>391</v>
      </c>
      <c r="H198" s="215" t="s">
        <v>122</v>
      </c>
      <c r="I198" s="215" t="s">
        <v>122</v>
      </c>
      <c r="J198" s="107" t="s">
        <v>349</v>
      </c>
      <c r="K198" s="220" t="s">
        <v>344</v>
      </c>
      <c r="L198" s="211" t="s">
        <v>185</v>
      </c>
      <c r="M198" s="70" t="s">
        <v>354</v>
      </c>
      <c r="N198" s="71">
        <f>SUM(O198:R198)</f>
        <v>2807602.8933333335</v>
      </c>
      <c r="O198" s="71">
        <f>((((996986.3*2)/12*8+(996986.3*1)/12*4)+((1649.65*46)/12*8+(1649.65*21)/12*4)))</f>
        <v>1723780.65</v>
      </c>
      <c r="P198" s="71">
        <f>((4001.99*46)/12*8)+((4001.99*21)/12*4)</f>
        <v>150741.62333333332</v>
      </c>
      <c r="Q198" s="71"/>
      <c r="R198" s="71">
        <f>((20284.35*46)/12*8)+((20284.35*46)/12*4)+0.52</f>
        <v>933080.62000000011</v>
      </c>
      <c r="S198" s="205"/>
      <c r="T198" s="46">
        <f>N198</f>
        <v>2807602.8933333335</v>
      </c>
      <c r="U198" s="46">
        <f>T198</f>
        <v>2807602.8933333335</v>
      </c>
      <c r="V198" s="280"/>
      <c r="W198" s="182">
        <f>12300.53*86</f>
        <v>1057845.58</v>
      </c>
    </row>
    <row r="199" spans="1:24" ht="179.4">
      <c r="A199" s="449"/>
      <c r="B199" s="450"/>
      <c r="C199" s="61" t="s">
        <v>128</v>
      </c>
      <c r="D199" s="62" t="s">
        <v>121</v>
      </c>
      <c r="E199" s="190" t="s">
        <v>322</v>
      </c>
      <c r="F199" s="190" t="s">
        <v>392</v>
      </c>
      <c r="G199" s="190" t="s">
        <v>393</v>
      </c>
      <c r="H199" s="190" t="s">
        <v>322</v>
      </c>
      <c r="I199" s="190" t="s">
        <v>322</v>
      </c>
      <c r="J199" s="107" t="s">
        <v>350</v>
      </c>
      <c r="K199" s="220" t="s">
        <v>345</v>
      </c>
      <c r="L199" s="211" t="s">
        <v>185</v>
      </c>
      <c r="M199" s="70" t="s">
        <v>354</v>
      </c>
      <c r="N199" s="71">
        <f>SUM(O199:R199)</f>
        <v>5062201.1233333331</v>
      </c>
      <c r="O199" s="71">
        <f>((((790160.23*4)/12*8+(790160.23*5)/12*4)+((1649.65*62)/12*8+(1649.65*78)/12*4)))</f>
        <v>3535104.0966666667</v>
      </c>
      <c r="P199" s="71">
        <f>((4001.99*62)/12*8)+((4001.99*78)/12*4)</f>
        <v>269467.32666666666</v>
      </c>
      <c r="Q199" s="71"/>
      <c r="R199" s="286">
        <f>((20284.35*62)/12*8)+((20284.35*62)/12*4)</f>
        <v>1257629.7</v>
      </c>
      <c r="S199" s="205"/>
      <c r="T199" s="46">
        <f>N199</f>
        <v>5062201.1233333331</v>
      </c>
      <c r="U199" s="46">
        <f>T199</f>
        <v>5062201.1233333331</v>
      </c>
      <c r="W199" s="182">
        <f>12300.53*29</f>
        <v>356715.37</v>
      </c>
      <c r="X199" s="182">
        <f>1638.38+12011.78+(4001.99*2.3654)</f>
        <v>23116.467146000003</v>
      </c>
    </row>
    <row r="200" spans="1:24" ht="82.8">
      <c r="A200" s="449"/>
      <c r="B200" s="450"/>
      <c r="C200" s="63" t="s">
        <v>163</v>
      </c>
      <c r="D200" s="64" t="s">
        <v>101</v>
      </c>
      <c r="E200" s="123" t="s">
        <v>104</v>
      </c>
      <c r="F200" s="123" t="s">
        <v>104</v>
      </c>
      <c r="G200" s="123" t="s">
        <v>104</v>
      </c>
      <c r="H200" s="59" t="s">
        <v>104</v>
      </c>
      <c r="I200" s="59" t="s">
        <v>104</v>
      </c>
      <c r="J200" s="59" t="s">
        <v>104</v>
      </c>
      <c r="K200" s="123" t="s">
        <v>104</v>
      </c>
      <c r="L200" s="123" t="s">
        <v>104</v>
      </c>
      <c r="M200" s="59" t="s">
        <v>104</v>
      </c>
      <c r="N200" s="71"/>
      <c r="O200" s="71"/>
      <c r="P200" s="59" t="s">
        <v>104</v>
      </c>
      <c r="Q200" s="59"/>
      <c r="R200" s="59" t="s">
        <v>104</v>
      </c>
      <c r="S200" s="123"/>
      <c r="T200" s="46"/>
      <c r="U200" s="46"/>
    </row>
    <row r="201" spans="1:24">
      <c r="A201" s="449"/>
      <c r="B201" s="274"/>
      <c r="C201" s="63" t="s">
        <v>165</v>
      </c>
      <c r="D201" s="64"/>
      <c r="E201" s="122"/>
      <c r="F201" s="122"/>
      <c r="G201" s="123">
        <f>((E201*8)+(F201*4))/12</f>
        <v>0</v>
      </c>
      <c r="H201" s="60"/>
      <c r="I201" s="60"/>
      <c r="J201" s="75">
        <f>K201</f>
        <v>112171.32</v>
      </c>
      <c r="K201" s="46">
        <v>112171.32</v>
      </c>
      <c r="L201" s="123" t="s">
        <v>104</v>
      </c>
      <c r="M201" s="59" t="s">
        <v>104</v>
      </c>
      <c r="N201" s="71">
        <f>O201</f>
        <v>0</v>
      </c>
      <c r="O201" s="73">
        <f>G201*K201</f>
        <v>0</v>
      </c>
      <c r="P201" s="59" t="s">
        <v>104</v>
      </c>
      <c r="Q201" s="59"/>
      <c r="R201" s="59" t="s">
        <v>104</v>
      </c>
      <c r="S201" s="123"/>
      <c r="T201" s="46">
        <f>H201*K201</f>
        <v>0</v>
      </c>
      <c r="U201" s="46">
        <f>I201*K201</f>
        <v>0</v>
      </c>
    </row>
    <row r="202" spans="1:24">
      <c r="A202" s="449"/>
      <c r="B202" s="274"/>
      <c r="C202" s="63" t="s">
        <v>168</v>
      </c>
      <c r="D202" s="64"/>
      <c r="E202" s="122">
        <v>1</v>
      </c>
      <c r="F202" s="122"/>
      <c r="G202" s="123">
        <f>((E202*8)+(F202*4))/12</f>
        <v>0.66666666666666663</v>
      </c>
      <c r="H202" s="60">
        <v>1</v>
      </c>
      <c r="I202" s="60">
        <v>1</v>
      </c>
      <c r="J202" s="75">
        <f>K202</f>
        <v>28464.5</v>
      </c>
      <c r="K202" s="46">
        <v>28464.5</v>
      </c>
      <c r="L202" s="212" t="s">
        <v>104</v>
      </c>
      <c r="M202" s="59" t="s">
        <v>104</v>
      </c>
      <c r="N202" s="71">
        <f>O202</f>
        <v>18976.333333333332</v>
      </c>
      <c r="O202" s="73">
        <f>G202*K202</f>
        <v>18976.333333333332</v>
      </c>
      <c r="P202" s="59" t="s">
        <v>104</v>
      </c>
      <c r="Q202" s="59"/>
      <c r="R202" s="59" t="s">
        <v>104</v>
      </c>
      <c r="S202" s="123"/>
      <c r="T202" s="46">
        <f>H202*K202</f>
        <v>28464.5</v>
      </c>
      <c r="U202" s="46">
        <f>I202*K202</f>
        <v>28464.5</v>
      </c>
    </row>
    <row r="203" spans="1:24" ht="82.8">
      <c r="A203" s="449"/>
      <c r="B203" s="274"/>
      <c r="C203" s="76" t="s">
        <v>173</v>
      </c>
      <c r="D203" s="64" t="s">
        <v>101</v>
      </c>
      <c r="E203" s="190"/>
      <c r="F203" s="190"/>
      <c r="G203" s="123"/>
      <c r="H203" s="79"/>
      <c r="I203" s="79"/>
      <c r="J203" s="75">
        <f>SUM(K203:M203)</f>
        <v>227703.62</v>
      </c>
      <c r="K203" s="46">
        <f>226053.97+1649.65</f>
        <v>227703.62</v>
      </c>
      <c r="L203" s="211" t="s">
        <v>185</v>
      </c>
      <c r="M203" s="70" t="s">
        <v>354</v>
      </c>
      <c r="N203" s="73">
        <f>SUM(O203:R203)</f>
        <v>0</v>
      </c>
      <c r="O203" s="73">
        <f>G203*K203</f>
        <v>0</v>
      </c>
      <c r="P203" s="73">
        <f>G203*4001.99</f>
        <v>0</v>
      </c>
      <c r="Q203" s="73"/>
      <c r="R203" s="73"/>
      <c r="S203" s="207"/>
      <c r="T203" s="46">
        <f>N203</f>
        <v>0</v>
      </c>
      <c r="U203" s="46">
        <f>T203</f>
        <v>0</v>
      </c>
    </row>
    <row r="204" spans="1:24" ht="82.8">
      <c r="A204" s="449"/>
      <c r="B204" s="274"/>
      <c r="C204" s="61" t="s">
        <v>174</v>
      </c>
      <c r="D204" s="64" t="s">
        <v>101</v>
      </c>
      <c r="E204" s="190">
        <v>3</v>
      </c>
      <c r="F204" s="190">
        <v>3</v>
      </c>
      <c r="G204" s="123">
        <f>((E204*8)+(F204*4))/12</f>
        <v>3</v>
      </c>
      <c r="H204" s="79">
        <v>3</v>
      </c>
      <c r="I204" s="79">
        <v>3</v>
      </c>
      <c r="J204" s="75">
        <f>K204</f>
        <v>41064.449999999997</v>
      </c>
      <c r="K204" s="46">
        <v>41064.449999999997</v>
      </c>
      <c r="L204" s="185"/>
      <c r="M204" s="74"/>
      <c r="N204" s="73">
        <f>O204</f>
        <v>123193.34999999999</v>
      </c>
      <c r="O204" s="73">
        <f>G204*K204</f>
        <v>123193.34999999999</v>
      </c>
      <c r="P204" s="73"/>
      <c r="Q204" s="73"/>
      <c r="R204" s="73"/>
      <c r="S204" s="207"/>
      <c r="T204" s="46">
        <f>H204*K204</f>
        <v>123193.34999999999</v>
      </c>
      <c r="U204" s="46">
        <f>I204*K204</f>
        <v>123193.34999999999</v>
      </c>
    </row>
    <row r="205" spans="1:24">
      <c r="A205" s="449"/>
      <c r="B205" s="274"/>
      <c r="C205" s="293" t="s">
        <v>106</v>
      </c>
      <c r="D205" s="64"/>
      <c r="E205" s="217" t="s">
        <v>323</v>
      </c>
      <c r="F205" s="217" t="s">
        <v>141</v>
      </c>
      <c r="G205" s="217" t="s">
        <v>394</v>
      </c>
      <c r="H205" s="217" t="s">
        <v>323</v>
      </c>
      <c r="I205" s="217" t="s">
        <v>323</v>
      </c>
      <c r="J205" s="73" t="s">
        <v>104</v>
      </c>
      <c r="K205" s="207" t="s">
        <v>104</v>
      </c>
      <c r="L205" s="185" t="s">
        <v>104</v>
      </c>
      <c r="M205" s="74" t="s">
        <v>104</v>
      </c>
      <c r="N205" s="103">
        <f>SUM(O205:R205)</f>
        <v>8011973.6999999993</v>
      </c>
      <c r="O205" s="74">
        <f>SUM(O198:O204)</f>
        <v>5401054.4299999988</v>
      </c>
      <c r="P205" s="74">
        <f>SUM(P198:P204)</f>
        <v>420208.94999999995</v>
      </c>
      <c r="Q205" s="74"/>
      <c r="R205" s="103">
        <f>SUM(R198:R204)</f>
        <v>2190710.3200000003</v>
      </c>
      <c r="S205" s="185"/>
      <c r="T205" s="205">
        <f>SUM(T198:T204)</f>
        <v>8021461.8666666662</v>
      </c>
      <c r="U205" s="185">
        <f>T205</f>
        <v>8021461.8666666662</v>
      </c>
    </row>
    <row r="206" spans="1:24" ht="179.4">
      <c r="A206" s="449"/>
      <c r="B206" s="274" t="s">
        <v>239</v>
      </c>
      <c r="C206" s="61" t="s">
        <v>128</v>
      </c>
      <c r="D206" s="62" t="s">
        <v>121</v>
      </c>
      <c r="E206" s="215" t="s">
        <v>324</v>
      </c>
      <c r="F206" s="215" t="s">
        <v>388</v>
      </c>
      <c r="G206" s="215" t="s">
        <v>389</v>
      </c>
      <c r="H206" s="215" t="s">
        <v>324</v>
      </c>
      <c r="I206" s="215" t="s">
        <v>324</v>
      </c>
      <c r="J206" s="286" t="s">
        <v>351</v>
      </c>
      <c r="K206" s="220" t="s">
        <v>346</v>
      </c>
      <c r="L206" s="211" t="s">
        <v>185</v>
      </c>
      <c r="M206" s="70" t="s">
        <v>355</v>
      </c>
      <c r="N206" s="73">
        <f>SUM(O206:R206)</f>
        <v>2597230.58</v>
      </c>
      <c r="O206" s="71">
        <f>((((844004.86*2)/12*8+(844004.86*2)/12*4)+((1998.78*18)/12*8+(1998.78*12)/12*4)))</f>
        <v>1719990.1999999997</v>
      </c>
      <c r="P206" s="73">
        <f>((18*4001.99)/12*8)+((12*4001.99)/12*4)</f>
        <v>64031.839999999997</v>
      </c>
      <c r="Q206" s="73"/>
      <c r="R206" s="75">
        <f>45178.25*18+0.04</f>
        <v>813208.54</v>
      </c>
      <c r="S206" s="46"/>
      <c r="T206" s="46">
        <f>N206</f>
        <v>2597230.58</v>
      </c>
      <c r="U206" s="46">
        <f>T206</f>
        <v>2597230.58</v>
      </c>
    </row>
    <row r="207" spans="1:24" ht="82.8">
      <c r="A207" s="449"/>
      <c r="B207" s="274"/>
      <c r="C207" s="63" t="s">
        <v>163</v>
      </c>
      <c r="D207" s="64" t="s">
        <v>101</v>
      </c>
      <c r="E207" s="215"/>
      <c r="F207" s="215"/>
      <c r="G207" s="215"/>
      <c r="H207" s="121"/>
      <c r="I207" s="121"/>
      <c r="J207" s="107"/>
      <c r="K207" s="220"/>
      <c r="L207" s="211"/>
      <c r="M207" s="70"/>
      <c r="N207" s="73"/>
      <c r="O207" s="71"/>
      <c r="P207" s="73"/>
      <c r="Q207" s="73"/>
      <c r="R207" s="75"/>
      <c r="S207" s="46"/>
      <c r="T207" s="46"/>
      <c r="U207" s="46"/>
    </row>
    <row r="208" spans="1:24">
      <c r="A208" s="449"/>
      <c r="B208" s="274"/>
      <c r="C208" s="63" t="s">
        <v>165</v>
      </c>
      <c r="D208" s="64" t="s">
        <v>101</v>
      </c>
      <c r="E208" s="215">
        <v>1</v>
      </c>
      <c r="F208" s="215">
        <v>1</v>
      </c>
      <c r="G208" s="123">
        <f>((E208*8)+(F208*4))/12</f>
        <v>1</v>
      </c>
      <c r="H208" s="121">
        <v>1</v>
      </c>
      <c r="I208" s="121">
        <v>1</v>
      </c>
      <c r="J208" s="107">
        <f>K208</f>
        <v>112171.32</v>
      </c>
      <c r="K208" s="220">
        <v>112171.32</v>
      </c>
      <c r="L208" s="211"/>
      <c r="M208" s="70"/>
      <c r="N208" s="73">
        <f>O208</f>
        <v>112171.32</v>
      </c>
      <c r="O208" s="71">
        <f>K208*G208</f>
        <v>112171.32</v>
      </c>
      <c r="P208" s="73"/>
      <c r="Q208" s="73"/>
      <c r="R208" s="75"/>
      <c r="S208" s="46"/>
      <c r="T208" s="46">
        <f>G208*K208</f>
        <v>112171.32</v>
      </c>
      <c r="U208" s="46">
        <f>T208</f>
        <v>112171.32</v>
      </c>
    </row>
    <row r="209" spans="1:27">
      <c r="A209" s="449"/>
      <c r="B209" s="274"/>
      <c r="C209" s="63" t="s">
        <v>168</v>
      </c>
      <c r="D209" s="64" t="s">
        <v>101</v>
      </c>
      <c r="E209" s="215"/>
      <c r="F209" s="215"/>
      <c r="G209" s="123">
        <f>((E209*8)+(F209*4))/12</f>
        <v>0</v>
      </c>
      <c r="H209" s="121"/>
      <c r="I209" s="121"/>
      <c r="J209" s="107">
        <f>K209</f>
        <v>28464.5</v>
      </c>
      <c r="K209" s="220">
        <v>28464.5</v>
      </c>
      <c r="L209" s="211"/>
      <c r="M209" s="70"/>
      <c r="N209" s="73">
        <f>O209</f>
        <v>0</v>
      </c>
      <c r="O209" s="71">
        <f>K209*G209</f>
        <v>0</v>
      </c>
      <c r="P209" s="73"/>
      <c r="Q209" s="73"/>
      <c r="R209" s="75"/>
      <c r="S209" s="46"/>
      <c r="T209" s="46">
        <f>G209*K209</f>
        <v>0</v>
      </c>
      <c r="U209" s="46">
        <f>T209</f>
        <v>0</v>
      </c>
    </row>
    <row r="210" spans="1:27">
      <c r="A210" s="449"/>
      <c r="B210" s="274"/>
      <c r="C210" s="293" t="s">
        <v>106</v>
      </c>
      <c r="D210" s="64"/>
      <c r="E210" s="215" t="str">
        <f>E206</f>
        <v>2\18</v>
      </c>
      <c r="F210" s="215" t="str">
        <f>F206</f>
        <v>2\12</v>
      </c>
      <c r="G210" s="215" t="str">
        <f>G206</f>
        <v>2\16</v>
      </c>
      <c r="H210" s="121" t="str">
        <f>H206</f>
        <v>2\18</v>
      </c>
      <c r="I210" s="121" t="str">
        <f>I206</f>
        <v>2\18</v>
      </c>
      <c r="J210" s="73" t="s">
        <v>104</v>
      </c>
      <c r="K210" s="207" t="s">
        <v>104</v>
      </c>
      <c r="L210" s="185" t="s">
        <v>104</v>
      </c>
      <c r="M210" s="74" t="s">
        <v>104</v>
      </c>
      <c r="N210" s="103">
        <f>SUM(N206:N209)</f>
        <v>2709401.9</v>
      </c>
      <c r="O210" s="74">
        <f>SUM(O206:O209)</f>
        <v>1832161.5199999998</v>
      </c>
      <c r="P210" s="74">
        <f>SUM(P206:P209)</f>
        <v>64031.839999999997</v>
      </c>
      <c r="Q210" s="74"/>
      <c r="R210" s="103">
        <f>SUM(R206:R209)</f>
        <v>813208.54</v>
      </c>
      <c r="S210" s="185"/>
      <c r="T210" s="185">
        <f>SUM(T206:T209)</f>
        <v>2709401.9</v>
      </c>
      <c r="U210" s="185">
        <f>SUM(U206:U209)</f>
        <v>2709401.9</v>
      </c>
    </row>
    <row r="211" spans="1:27" ht="102" customHeight="1">
      <c r="A211" s="449"/>
      <c r="B211" s="137" t="s">
        <v>240</v>
      </c>
      <c r="C211" s="61" t="s">
        <v>186</v>
      </c>
      <c r="D211" s="64" t="s">
        <v>101</v>
      </c>
      <c r="E211" s="122">
        <v>249</v>
      </c>
      <c r="F211" s="122">
        <v>241</v>
      </c>
      <c r="G211" s="122">
        <f>((E211*8)+(F211*4))/12</f>
        <v>246.33333333333334</v>
      </c>
      <c r="H211" s="60">
        <v>439</v>
      </c>
      <c r="I211" s="60">
        <v>439</v>
      </c>
      <c r="J211" s="75">
        <f>K211</f>
        <v>4982.75</v>
      </c>
      <c r="K211" s="46">
        <v>4982.75</v>
      </c>
      <c r="L211" s="184" t="s">
        <v>104</v>
      </c>
      <c r="M211" s="72" t="s">
        <v>104</v>
      </c>
      <c r="N211" s="73">
        <f>SUM(O211:R211)</f>
        <v>1227417.4166666667</v>
      </c>
      <c r="O211" s="73">
        <f>K211*G211</f>
        <v>1227417.4166666667</v>
      </c>
      <c r="P211" s="73" t="s">
        <v>104</v>
      </c>
      <c r="Q211" s="73"/>
      <c r="R211" s="73" t="s">
        <v>104</v>
      </c>
      <c r="S211" s="207"/>
      <c r="T211" s="46">
        <f>H211*J211</f>
        <v>2187427.25</v>
      </c>
      <c r="U211" s="46">
        <f t="shared" ref="U211:U218" si="54">T211</f>
        <v>2187427.25</v>
      </c>
      <c r="V211" s="182">
        <v>20319160.32</v>
      </c>
      <c r="W211" s="192">
        <f>T220-V211</f>
        <v>-409182.5700000003</v>
      </c>
    </row>
    <row r="212" spans="1:27">
      <c r="A212" s="449"/>
      <c r="B212" s="69"/>
      <c r="C212" s="293" t="s">
        <v>106</v>
      </c>
      <c r="D212" s="69"/>
      <c r="E212" s="122">
        <f>SUM(E211:E211)</f>
        <v>249</v>
      </c>
      <c r="F212" s="122">
        <f>SUM(F211:F211)</f>
        <v>241</v>
      </c>
      <c r="G212" s="122">
        <f>SUM(G211:G211)</f>
        <v>246.33333333333334</v>
      </c>
      <c r="H212" s="60">
        <f>SUM(H211:H211)</f>
        <v>439</v>
      </c>
      <c r="I212" s="60">
        <f>SUM(I211:I211)</f>
        <v>439</v>
      </c>
      <c r="J212" s="74" t="s">
        <v>104</v>
      </c>
      <c r="K212" s="185" t="s">
        <v>104</v>
      </c>
      <c r="L212" s="185" t="s">
        <v>104</v>
      </c>
      <c r="M212" s="74">
        <f t="shared" ref="M212:R212" si="55">SUM(M211:M211)</f>
        <v>0</v>
      </c>
      <c r="N212" s="103">
        <f t="shared" si="55"/>
        <v>1227417.4166666667</v>
      </c>
      <c r="O212" s="74">
        <f t="shared" si="55"/>
        <v>1227417.4166666667</v>
      </c>
      <c r="P212" s="74">
        <f t="shared" si="55"/>
        <v>0</v>
      </c>
      <c r="Q212" s="74"/>
      <c r="R212" s="74">
        <f t="shared" si="55"/>
        <v>0</v>
      </c>
      <c r="S212" s="185"/>
      <c r="T212" s="185">
        <f>N212</f>
        <v>1227417.4166666667</v>
      </c>
      <c r="U212" s="46">
        <f t="shared" si="54"/>
        <v>1227417.4166666667</v>
      </c>
    </row>
    <row r="213" spans="1:27" ht="13.95" hidden="1" customHeight="1">
      <c r="A213" s="449"/>
      <c r="B213" s="69" t="s">
        <v>283</v>
      </c>
      <c r="C213" s="66" t="s">
        <v>226</v>
      </c>
      <c r="D213" s="69"/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P213</f>
        <v>0</v>
      </c>
      <c r="O213" s="74"/>
      <c r="P213" s="74"/>
      <c r="Q213" s="74"/>
      <c r="R213" s="74"/>
      <c r="S213" s="185"/>
      <c r="T213" s="185">
        <f>P213</f>
        <v>0</v>
      </c>
      <c r="U213" s="185">
        <f t="shared" si="54"/>
        <v>0</v>
      </c>
    </row>
    <row r="214" spans="1:27" ht="13.95" hidden="1" customHeight="1">
      <c r="A214" s="449"/>
      <c r="B214" s="89" t="s">
        <v>225</v>
      </c>
      <c r="C214" s="181" t="s">
        <v>219</v>
      </c>
      <c r="D214" s="64" t="s">
        <v>101</v>
      </c>
      <c r="E214" s="122">
        <v>11</v>
      </c>
      <c r="F214" s="122">
        <v>11</v>
      </c>
      <c r="G214" s="122">
        <v>11</v>
      </c>
      <c r="H214" s="60">
        <v>11</v>
      </c>
      <c r="I214" s="60">
        <v>11</v>
      </c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>
        <f>S214</f>
        <v>0</v>
      </c>
      <c r="U214" s="185">
        <f t="shared" si="54"/>
        <v>0</v>
      </c>
    </row>
    <row r="215" spans="1:27" ht="13.95" hidden="1" customHeight="1">
      <c r="A215" s="449"/>
      <c r="B215" s="89" t="s">
        <v>225</v>
      </c>
      <c r="C215" s="181" t="s">
        <v>226</v>
      </c>
      <c r="D215" s="64" t="s">
        <v>101</v>
      </c>
      <c r="E215" s="122"/>
      <c r="F215" s="122"/>
      <c r="G215" s="122"/>
      <c r="H215" s="60"/>
      <c r="I215" s="60"/>
      <c r="J215" s="74"/>
      <c r="K215" s="185"/>
      <c r="L215" s="185"/>
      <c r="M215" s="74"/>
      <c r="N215" s="74">
        <f>Q215</f>
        <v>0</v>
      </c>
      <c r="O215" s="74"/>
      <c r="P215" s="74"/>
      <c r="Q215" s="74"/>
      <c r="R215" s="74"/>
      <c r="S215" s="185"/>
      <c r="T215" s="185"/>
      <c r="U215" s="185"/>
    </row>
    <row r="216" spans="1:27" ht="13.95" hidden="1" customHeight="1">
      <c r="A216" s="449"/>
      <c r="B216" s="89" t="s">
        <v>282</v>
      </c>
      <c r="C216" s="181" t="s">
        <v>219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S216</f>
        <v>0</v>
      </c>
      <c r="O216" s="74"/>
      <c r="P216" s="74"/>
      <c r="Q216" s="74"/>
      <c r="R216" s="74"/>
      <c r="S216" s="185"/>
      <c r="T216" s="185"/>
      <c r="U216" s="185"/>
    </row>
    <row r="217" spans="1:27">
      <c r="A217" s="449"/>
      <c r="B217" s="89" t="s">
        <v>289</v>
      </c>
      <c r="C217" s="181" t="s">
        <v>226</v>
      </c>
      <c r="D217" s="64"/>
      <c r="E217" s="122">
        <v>13</v>
      </c>
      <c r="F217" s="122">
        <v>13</v>
      </c>
      <c r="G217" s="122">
        <v>13</v>
      </c>
      <c r="H217" s="60">
        <v>13</v>
      </c>
      <c r="I217" s="60">
        <v>13</v>
      </c>
      <c r="J217" s="74"/>
      <c r="K217" s="185"/>
      <c r="L217" s="185"/>
      <c r="M217" s="74"/>
      <c r="N217" s="74">
        <f>O217</f>
        <v>1523340</v>
      </c>
      <c r="O217" s="74">
        <v>1523340</v>
      </c>
      <c r="P217" s="74"/>
      <c r="Q217" s="74"/>
      <c r="R217" s="74"/>
      <c r="S217" s="185"/>
      <c r="T217" s="185">
        <v>1523340</v>
      </c>
      <c r="U217" s="185">
        <f>T217</f>
        <v>1523340</v>
      </c>
    </row>
    <row r="218" spans="1:27" ht="13.95" hidden="1" customHeight="1">
      <c r="A218" s="449"/>
      <c r="B218" s="89" t="s">
        <v>257</v>
      </c>
      <c r="C218" s="181" t="s">
        <v>226</v>
      </c>
      <c r="D218" s="64"/>
      <c r="E218" s="122"/>
      <c r="F218" s="122"/>
      <c r="G218" s="122"/>
      <c r="H218" s="60"/>
      <c r="I218" s="60"/>
      <c r="J218" s="74"/>
      <c r="K218" s="185"/>
      <c r="L218" s="185"/>
      <c r="M218" s="74"/>
      <c r="N218" s="74">
        <f>O218</f>
        <v>0</v>
      </c>
      <c r="O218" s="74"/>
      <c r="P218" s="74"/>
      <c r="Q218" s="74"/>
      <c r="R218" s="74"/>
      <c r="S218" s="185"/>
      <c r="T218" s="185">
        <f>O218</f>
        <v>0</v>
      </c>
      <c r="U218" s="185">
        <f t="shared" si="54"/>
        <v>0</v>
      </c>
    </row>
    <row r="219" spans="1:27" ht="13.95" hidden="1" customHeight="1">
      <c r="A219" s="449"/>
      <c r="B219" s="89" t="s">
        <v>290</v>
      </c>
      <c r="C219" s="181" t="s">
        <v>226</v>
      </c>
      <c r="D219" s="64"/>
      <c r="E219" s="122"/>
      <c r="F219" s="122"/>
      <c r="G219" s="122"/>
      <c r="H219" s="60"/>
      <c r="I219" s="60"/>
      <c r="J219" s="74"/>
      <c r="K219" s="185"/>
      <c r="L219" s="185"/>
      <c r="M219" s="74"/>
      <c r="N219" s="74">
        <f>P219</f>
        <v>0</v>
      </c>
      <c r="O219" s="74"/>
      <c r="P219" s="74"/>
      <c r="Q219" s="74"/>
      <c r="R219" s="74"/>
      <c r="S219" s="185"/>
      <c r="T219" s="185"/>
      <c r="U219" s="185">
        <f>T219</f>
        <v>0</v>
      </c>
    </row>
    <row r="220" spans="1:27">
      <c r="A220" s="449"/>
      <c r="B220" s="318" t="s">
        <v>112</v>
      </c>
      <c r="C220" s="318"/>
      <c r="D220" s="319"/>
      <c r="E220" s="320">
        <v>218</v>
      </c>
      <c r="F220" s="320">
        <v>197</v>
      </c>
      <c r="G220" s="214">
        <v>211</v>
      </c>
      <c r="H220" s="102">
        <f>85+116+17</f>
        <v>218</v>
      </c>
      <c r="I220" s="102">
        <f>85+116+17</f>
        <v>218</v>
      </c>
      <c r="J220" s="103"/>
      <c r="K220" s="138"/>
      <c r="L220" s="138"/>
      <c r="M220" s="103"/>
      <c r="N220" s="103">
        <f>SUM(O220:S220)</f>
        <v>19928473.276666664</v>
      </c>
      <c r="O220" s="103">
        <f>O197+O205+O210+O212+O217+O218</f>
        <v>14160140.736666664</v>
      </c>
      <c r="P220" s="103">
        <f>P197+P205+P210+P212+P213+P214+P215+P219</f>
        <v>844419.8899999999</v>
      </c>
      <c r="Q220" s="103">
        <f>Q197+Q205+Q210+Q212+Q213+Q214+Q215</f>
        <v>0</v>
      </c>
      <c r="R220" s="103">
        <f>R197+R205+R210+R212+R213+R214+R215+R216</f>
        <v>4923912.6500000004</v>
      </c>
      <c r="S220" s="138">
        <f>S197+S205+S210+S212+S213+S214+S215+S216</f>
        <v>0</v>
      </c>
      <c r="T220" s="138">
        <f>T197+T205+T210+T212+T213+T214+T215+T216+T217+T218+T219</f>
        <v>19909977.75</v>
      </c>
      <c r="U220" s="138">
        <f>U197+U205+U210+U212+U213+U214+U215+U216+U217+U218+U219</f>
        <v>19909977.75</v>
      </c>
      <c r="V220" s="182">
        <v>4847177.32</v>
      </c>
      <c r="W220" s="192">
        <f>V220-R220</f>
        <v>-76735.330000000075</v>
      </c>
      <c r="X220" s="182">
        <f>W220/I220</f>
        <v>-351.99692660550494</v>
      </c>
      <c r="AA220" s="192"/>
    </row>
    <row r="221" spans="1:27" ht="27" customHeight="1">
      <c r="A221" s="335"/>
      <c r="B221" s="455" t="s">
        <v>231</v>
      </c>
      <c r="C221" s="456"/>
      <c r="D221" s="456"/>
      <c r="E221" s="456"/>
      <c r="F221" s="456"/>
      <c r="G221" s="456"/>
      <c r="H221" s="456"/>
      <c r="I221" s="456"/>
      <c r="J221" s="456"/>
      <c r="K221" s="456"/>
      <c r="L221" s="456"/>
      <c r="M221" s="457"/>
      <c r="N221" s="334">
        <f>N220+N188+N150+N115+N82+N47-0.01</f>
        <v>226567272.94666666</v>
      </c>
      <c r="O221" s="334">
        <f>O220+O188+O150+O115+O82+O47</f>
        <v>164028781.73333332</v>
      </c>
      <c r="P221" s="334">
        <f>P220+P188+P150+P115+P82+P47</f>
        <v>13127861.196666664</v>
      </c>
      <c r="Q221" s="334">
        <f>Q220+Q188+Q150+Q115+Q82+Q47</f>
        <v>0</v>
      </c>
      <c r="R221" s="334">
        <f>R220+R188+R150+R115+R82+R47</f>
        <v>49410630.016666666</v>
      </c>
      <c r="S221" s="210">
        <f>S220+S188+S150+S115+S82+S47</f>
        <v>0</v>
      </c>
      <c r="T221" s="210">
        <f>T220+T188+T150+T115+T82+T47-0.01</f>
        <v>224177636.91666669</v>
      </c>
      <c r="U221" s="210">
        <f>U220+U188+U150+U115+U82+U47-0.01</f>
        <v>224177636.91666669</v>
      </c>
      <c r="X221" s="70"/>
    </row>
    <row r="222" spans="1:27">
      <c r="A222" s="182" t="s">
        <v>233</v>
      </c>
      <c r="T222" s="281"/>
      <c r="U222" s="281"/>
    </row>
    <row r="223" spans="1:27">
      <c r="A223" s="182" t="s">
        <v>178</v>
      </c>
      <c r="O223" s="192"/>
      <c r="T223" s="187"/>
    </row>
    <row r="224" spans="1:27">
      <c r="O224" s="192"/>
      <c r="T224" s="187"/>
      <c r="U224" s="187"/>
    </row>
    <row r="225" spans="9:22">
      <c r="O225" s="192"/>
      <c r="R225" s="192"/>
      <c r="S225" s="187"/>
      <c r="V225" s="192"/>
    </row>
    <row r="226" spans="9:22">
      <c r="O226" s="192"/>
      <c r="P226" s="192"/>
      <c r="R226" s="192"/>
    </row>
    <row r="227" spans="9:22">
      <c r="O227" s="192"/>
      <c r="P227" s="192"/>
      <c r="R227" s="192"/>
      <c r="T227" s="187"/>
    </row>
    <row r="228" spans="9:22">
      <c r="O228" s="192"/>
      <c r="P228" s="192"/>
    </row>
    <row r="229" spans="9:22">
      <c r="O229" s="192"/>
      <c r="P229" s="192"/>
    </row>
    <row r="230" spans="9:22">
      <c r="O230" s="192"/>
      <c r="P230" s="192"/>
    </row>
    <row r="231" spans="9:22">
      <c r="O231" s="192"/>
      <c r="P231" s="192"/>
    </row>
    <row r="232" spans="9:22">
      <c r="O232" s="192"/>
      <c r="P232" s="192"/>
    </row>
    <row r="233" spans="9:22">
      <c r="I233" s="282"/>
      <c r="O233" s="192"/>
      <c r="P233" s="192"/>
    </row>
    <row r="234" spans="9:22">
      <c r="O234" s="192"/>
      <c r="P234" s="192"/>
    </row>
    <row r="235" spans="9:22">
      <c r="O235" s="192"/>
      <c r="P235" s="192"/>
    </row>
    <row r="236" spans="9:22">
      <c r="O236" s="192"/>
      <c r="P236" s="192"/>
    </row>
    <row r="237" spans="9:22">
      <c r="O237" s="192"/>
      <c r="P237" s="192"/>
    </row>
    <row r="238" spans="9:22">
      <c r="O238" s="192"/>
      <c r="P238" s="192"/>
    </row>
    <row r="239" spans="9:22">
      <c r="O239" s="192"/>
      <c r="P239" s="192"/>
    </row>
    <row r="240" spans="9:22">
      <c r="R240" s="192"/>
    </row>
    <row r="241" spans="15:18">
      <c r="R241" s="192"/>
    </row>
    <row r="242" spans="15:18">
      <c r="O242" s="192"/>
      <c r="R242" s="192"/>
    </row>
    <row r="263" spans="1:17">
      <c r="O263" s="192"/>
      <c r="P263" s="192"/>
      <c r="Q263" s="192"/>
    </row>
    <row r="264" spans="1:17">
      <c r="O264" s="192"/>
      <c r="P264" s="192"/>
      <c r="Q264" s="192"/>
    </row>
    <row r="265" spans="1:17">
      <c r="O265" s="192"/>
      <c r="P265" s="192"/>
      <c r="Q265" s="192"/>
    </row>
    <row r="268" spans="1:17">
      <c r="O268" s="192"/>
    </row>
    <row r="270" spans="1:17">
      <c r="H270" s="182">
        <v>2</v>
      </c>
    </row>
    <row r="271" spans="1:17" ht="13.95" hidden="1" customHeight="1">
      <c r="D271" s="180">
        <v>286</v>
      </c>
      <c r="E271" s="202"/>
      <c r="F271" s="202"/>
      <c r="G271" s="202">
        <v>3</v>
      </c>
      <c r="H271" s="180">
        <v>244</v>
      </c>
      <c r="I271" s="180">
        <v>46</v>
      </c>
      <c r="J271" s="180">
        <v>69</v>
      </c>
      <c r="K271" s="202">
        <f>D271+G271+H271+I271+J271</f>
        <v>648</v>
      </c>
      <c r="L271" s="189" t="s">
        <v>295</v>
      </c>
      <c r="M271" s="182" t="s">
        <v>296</v>
      </c>
      <c r="N271" s="182" t="s">
        <v>297</v>
      </c>
    </row>
    <row r="272" spans="1:17" ht="27.6" hidden="1" customHeight="1">
      <c r="A272" s="182" t="s">
        <v>294</v>
      </c>
      <c r="B272" s="193" t="s">
        <v>283</v>
      </c>
      <c r="C272" s="198">
        <v>118131</v>
      </c>
      <c r="D272" s="199"/>
      <c r="E272" s="203"/>
      <c r="F272" s="203"/>
      <c r="G272" s="203"/>
      <c r="H272" s="197"/>
      <c r="I272" s="197"/>
      <c r="J272" s="197"/>
      <c r="K272" s="203"/>
      <c r="L272" s="187">
        <f>(C272+C278)</f>
        <v>522719</v>
      </c>
      <c r="M272" s="192">
        <f>(C276+C277)</f>
        <v>1356154</v>
      </c>
      <c r="N272" s="192">
        <f>(C273+C275)</f>
        <v>3584396</v>
      </c>
      <c r="O272" s="192">
        <f>L272+M272+N272</f>
        <v>5463269</v>
      </c>
    </row>
    <row r="273" spans="1:15" ht="13.95" hidden="1" customHeight="1">
      <c r="B273" s="89" t="s">
        <v>225</v>
      </c>
      <c r="C273" s="198">
        <v>3308494</v>
      </c>
      <c r="D273" s="199"/>
      <c r="E273" s="203"/>
      <c r="F273" s="203"/>
      <c r="G273" s="203"/>
      <c r="H273" s="197"/>
      <c r="I273" s="197"/>
      <c r="J273" s="197"/>
      <c r="K273" s="203"/>
      <c r="L273" s="187">
        <f>L272/K271</f>
        <v>806.66512345679007</v>
      </c>
      <c r="M273" s="192">
        <f>M272/K271</f>
        <v>2092.8302469135801</v>
      </c>
      <c r="N273" s="192">
        <f>N272/K271</f>
        <v>5531.4753086419751</v>
      </c>
    </row>
    <row r="274" spans="1:15" ht="13.95" hidden="1" customHeight="1">
      <c r="B274" s="89" t="s">
        <v>225</v>
      </c>
      <c r="C274" s="198"/>
      <c r="D274" s="199"/>
      <c r="E274" s="203"/>
      <c r="F274" s="203"/>
      <c r="G274" s="203"/>
      <c r="H274" s="197"/>
      <c r="I274" s="197"/>
      <c r="J274" s="197"/>
      <c r="K274" s="203"/>
      <c r="L274" s="187"/>
    </row>
    <row r="275" spans="1:15" ht="13.95" hidden="1" customHeight="1">
      <c r="B275" s="89" t="s">
        <v>282</v>
      </c>
      <c r="C275" s="198">
        <v>275902</v>
      </c>
      <c r="D275" s="199"/>
      <c r="E275" s="203"/>
      <c r="F275" s="203"/>
      <c r="G275" s="203"/>
      <c r="H275" s="197"/>
      <c r="I275" s="197"/>
      <c r="J275" s="197"/>
      <c r="K275" s="203"/>
      <c r="L275" s="187">
        <f>C272+691346</f>
        <v>809477</v>
      </c>
      <c r="M275" s="192">
        <f>C277+3249792</f>
        <v>3522682</v>
      </c>
      <c r="N275" s="192">
        <f>C273</f>
        <v>3308494</v>
      </c>
    </row>
    <row r="276" spans="1:15" ht="13.95" hidden="1" customHeight="1">
      <c r="B276" s="89" t="s">
        <v>289</v>
      </c>
      <c r="C276" s="198">
        <v>1083264</v>
      </c>
      <c r="D276" s="197"/>
      <c r="E276" s="203"/>
      <c r="F276" s="203"/>
      <c r="G276" s="203"/>
      <c r="H276" s="197"/>
      <c r="I276" s="197"/>
      <c r="J276" s="197"/>
      <c r="K276" s="203"/>
      <c r="L276" s="187">
        <f>L275-L272</f>
        <v>286758</v>
      </c>
      <c r="M276" s="192">
        <f>M275-M272</f>
        <v>2166528</v>
      </c>
      <c r="N276" s="192">
        <f>N275-N272</f>
        <v>-275902</v>
      </c>
    </row>
    <row r="277" spans="1:15" ht="13.95" hidden="1" customHeight="1">
      <c r="B277" s="89" t="s">
        <v>257</v>
      </c>
      <c r="C277" s="198">
        <v>272890</v>
      </c>
      <c r="D277" s="197"/>
      <c r="E277" s="203"/>
      <c r="F277" s="203"/>
      <c r="G277" s="203"/>
      <c r="H277" s="197"/>
      <c r="I277" s="197"/>
      <c r="J277" s="197"/>
      <c r="K277" s="203"/>
      <c r="L277" s="187">
        <f>L276/K271</f>
        <v>442.52777777777777</v>
      </c>
      <c r="M277" s="192">
        <f>M276/K271</f>
        <v>3343.4074074074074</v>
      </c>
      <c r="N277" s="192">
        <f>N276/K271</f>
        <v>-425.77469135802471</v>
      </c>
    </row>
    <row r="278" spans="1:15" ht="13.95" hidden="1" customHeight="1">
      <c r="B278" s="89" t="s">
        <v>290</v>
      </c>
      <c r="C278" s="198">
        <v>404588</v>
      </c>
      <c r="D278" s="197"/>
      <c r="E278" s="203"/>
      <c r="F278" s="203"/>
      <c r="G278" s="203"/>
      <c r="H278" s="197"/>
      <c r="I278" s="197"/>
      <c r="J278" s="197"/>
      <c r="K278" s="203"/>
      <c r="L278" s="187">
        <f>D271*L277</f>
        <v>126562.94444444444</v>
      </c>
      <c r="M278" s="192">
        <f>D271*M277</f>
        <v>956214.51851851854</v>
      </c>
      <c r="N278" s="192">
        <f>D271*N277</f>
        <v>-121771.56172839507</v>
      </c>
      <c r="O278" s="192">
        <f t="shared" ref="O278:O283" si="56">L278+M278+N278</f>
        <v>961005.90123456786</v>
      </c>
    </row>
    <row r="279" spans="1:15" ht="13.95" hidden="1" customHeight="1">
      <c r="B279" s="101" t="s">
        <v>112</v>
      </c>
      <c r="C279" s="198">
        <f>SUM(C272:C278)</f>
        <v>5463269</v>
      </c>
      <c r="D279" s="197"/>
      <c r="E279" s="203"/>
      <c r="F279" s="203"/>
      <c r="G279" s="203"/>
      <c r="H279" s="197"/>
      <c r="I279" s="197"/>
      <c r="J279" s="197"/>
      <c r="K279" s="203"/>
      <c r="L279" s="187">
        <f>G271*L277</f>
        <v>1327.5833333333333</v>
      </c>
      <c r="M279" s="192">
        <f>G271*M277</f>
        <v>10030.222222222223</v>
      </c>
      <c r="N279" s="192">
        <f>G271*N277</f>
        <v>-1277.3240740740741</v>
      </c>
      <c r="O279" s="192">
        <f t="shared" si="56"/>
        <v>10080.481481481482</v>
      </c>
    </row>
    <row r="280" spans="1:15" ht="13.95" hidden="1" customHeight="1">
      <c r="L280" s="187">
        <f>242*L277</f>
        <v>107091.72222222222</v>
      </c>
      <c r="M280" s="192">
        <f>242*M277</f>
        <v>809104.59259259258</v>
      </c>
      <c r="N280" s="192">
        <f>242*N277</f>
        <v>-103037.47530864198</v>
      </c>
      <c r="O280" s="192">
        <f t="shared" si="56"/>
        <v>813158.83950617281</v>
      </c>
    </row>
    <row r="281" spans="1:15" ht="13.95" hidden="1" customHeight="1">
      <c r="D281" s="195"/>
      <c r="L281" s="187">
        <f>2*L277</f>
        <v>885.05555555555554</v>
      </c>
      <c r="M281" s="192">
        <f>2*M277</f>
        <v>6686.8148148148148</v>
      </c>
      <c r="N281" s="192">
        <f>2*N277</f>
        <v>-851.54938271604942</v>
      </c>
      <c r="O281" s="192">
        <f t="shared" si="56"/>
        <v>6720.3209876543206</v>
      </c>
    </row>
    <row r="282" spans="1:15" ht="13.95" hidden="1" customHeight="1">
      <c r="D282" s="196"/>
      <c r="L282" s="187">
        <f>I271*L277</f>
        <v>20356.277777777777</v>
      </c>
      <c r="M282" s="192">
        <f>I271*M277</f>
        <v>153796.74074074073</v>
      </c>
      <c r="N282" s="192">
        <f>I271*N277</f>
        <v>-19585.635802469136</v>
      </c>
      <c r="O282" s="192">
        <f t="shared" si="56"/>
        <v>154567.38271604938</v>
      </c>
    </row>
    <row r="283" spans="1:15" ht="13.95" hidden="1" customHeight="1">
      <c r="D283" s="196"/>
      <c r="L283" s="187">
        <f>J271*L277</f>
        <v>30534.416666666668</v>
      </c>
      <c r="M283" s="192">
        <f>J271*M277</f>
        <v>230695.11111111112</v>
      </c>
      <c r="N283" s="192">
        <f>J271*N277</f>
        <v>-29378.453703703704</v>
      </c>
      <c r="O283" s="192">
        <f t="shared" si="56"/>
        <v>231851.07407407407</v>
      </c>
    </row>
    <row r="284" spans="1:15" ht="13.95" hidden="1" customHeight="1">
      <c r="D284" s="196"/>
    </row>
    <row r="285" spans="1:15" ht="13.95" hidden="1" customHeight="1">
      <c r="D285" s="196"/>
    </row>
    <row r="286" spans="1:15" ht="13.95" hidden="1" customHeight="1">
      <c r="D286" s="196"/>
    </row>
    <row r="287" spans="1:15" ht="13.95" hidden="1" customHeight="1">
      <c r="D287" s="180">
        <v>261</v>
      </c>
      <c r="E287" s="202"/>
      <c r="F287" s="202"/>
      <c r="G287" s="202">
        <v>2</v>
      </c>
      <c r="H287" s="180">
        <v>219</v>
      </c>
      <c r="I287" s="180">
        <v>2</v>
      </c>
      <c r="J287" s="180">
        <v>44</v>
      </c>
      <c r="K287" s="202">
        <f>D287+G287+H287+I287+J287</f>
        <v>528</v>
      </c>
      <c r="L287" s="189" t="s">
        <v>295</v>
      </c>
      <c r="M287" s="182" t="s">
        <v>296</v>
      </c>
      <c r="N287" s="182" t="s">
        <v>297</v>
      </c>
    </row>
    <row r="288" spans="1:15" ht="27.6" hidden="1" customHeight="1">
      <c r="A288" s="182" t="s">
        <v>298</v>
      </c>
      <c r="B288" s="193" t="s">
        <v>283</v>
      </c>
      <c r="C288" s="198">
        <v>96255</v>
      </c>
      <c r="D288" s="199"/>
      <c r="E288" s="203"/>
      <c r="F288" s="203"/>
      <c r="G288" s="203"/>
      <c r="H288" s="197"/>
      <c r="I288" s="197"/>
      <c r="J288" s="197"/>
      <c r="K288" s="203"/>
      <c r="L288" s="187">
        <f>C288+C290+C294</f>
        <v>1031146</v>
      </c>
      <c r="M288" s="192">
        <f>C292+C293</f>
        <v>1027677</v>
      </c>
      <c r="N288" s="192">
        <f>C289+C291</f>
        <v>4122597</v>
      </c>
      <c r="O288" s="192">
        <f>L288+M288+N288</f>
        <v>6181420</v>
      </c>
    </row>
    <row r="289" spans="1:15" ht="13.95" hidden="1" customHeight="1">
      <c r="B289" s="89" t="s">
        <v>225</v>
      </c>
      <c r="C289" s="198">
        <v>3813252</v>
      </c>
      <c r="D289" s="199"/>
      <c r="E289" s="203"/>
      <c r="F289" s="203"/>
      <c r="G289" s="203"/>
      <c r="H289" s="197"/>
      <c r="I289" s="197"/>
      <c r="J289" s="197"/>
      <c r="K289" s="203"/>
      <c r="L289" s="187">
        <f>L288/K287</f>
        <v>1952.9280303030303</v>
      </c>
      <c r="M289" s="192">
        <f>M288/K287</f>
        <v>1946.3579545454545</v>
      </c>
      <c r="N289" s="192">
        <f>N288/K287</f>
        <v>7807.948863636364</v>
      </c>
    </row>
    <row r="290" spans="1:15" ht="13.95" hidden="1" customHeight="1">
      <c r="B290" s="89" t="s">
        <v>225</v>
      </c>
      <c r="C290" s="198">
        <v>606031</v>
      </c>
      <c r="D290" s="199"/>
      <c r="E290" s="203"/>
      <c r="F290" s="203"/>
      <c r="G290" s="203"/>
      <c r="H290" s="197"/>
      <c r="I290" s="197"/>
      <c r="J290" s="197"/>
      <c r="K290" s="203"/>
    </row>
    <row r="291" spans="1:15" ht="13.95" hidden="1" customHeight="1">
      <c r="B291" s="89" t="s">
        <v>282</v>
      </c>
      <c r="C291" s="198">
        <v>309345</v>
      </c>
      <c r="D291" s="199"/>
      <c r="E291" s="203"/>
      <c r="F291" s="203"/>
      <c r="G291" s="203"/>
      <c r="H291" s="197"/>
      <c r="I291" s="197"/>
      <c r="J291" s="197"/>
      <c r="K291" s="203"/>
      <c r="L291" s="187">
        <f>C288+C290+563319</f>
        <v>1265605</v>
      </c>
      <c r="M291" s="192">
        <f>C293+2624832</f>
        <v>2777565</v>
      </c>
      <c r="N291" s="192">
        <f>C289</f>
        <v>3813252</v>
      </c>
    </row>
    <row r="292" spans="1:15" ht="13.95" hidden="1" customHeight="1">
      <c r="B292" s="89" t="s">
        <v>289</v>
      </c>
      <c r="C292" s="198">
        <v>874944</v>
      </c>
      <c r="D292" s="197"/>
      <c r="E292" s="203"/>
      <c r="F292" s="203"/>
      <c r="G292" s="203"/>
      <c r="H292" s="197"/>
      <c r="I292" s="197"/>
      <c r="J292" s="197"/>
      <c r="K292" s="203"/>
      <c r="L292" s="187">
        <f>L291-L288</f>
        <v>234459</v>
      </c>
      <c r="M292" s="192">
        <f>M291-M288</f>
        <v>1749888</v>
      </c>
      <c r="N292" s="192">
        <f>N291-N288</f>
        <v>-309345</v>
      </c>
    </row>
    <row r="293" spans="1:15" ht="13.95" hidden="1" customHeight="1">
      <c r="B293" s="89" t="s">
        <v>257</v>
      </c>
      <c r="C293" s="198">
        <v>152733</v>
      </c>
      <c r="D293" s="197"/>
      <c r="E293" s="203"/>
      <c r="F293" s="203"/>
      <c r="G293" s="203"/>
      <c r="H293" s="197"/>
      <c r="I293" s="197"/>
      <c r="J293" s="197"/>
      <c r="K293" s="203"/>
      <c r="L293" s="281">
        <f>L292/K287</f>
        <v>444.05113636363637</v>
      </c>
      <c r="M293" s="204">
        <f>M292/K287</f>
        <v>3314.181818181818</v>
      </c>
      <c r="N293" s="204">
        <f>N292/K287</f>
        <v>-585.88068181818187</v>
      </c>
    </row>
    <row r="294" spans="1:15" ht="13.95" hidden="1" customHeight="1">
      <c r="B294" s="89" t="s">
        <v>290</v>
      </c>
      <c r="C294" s="198">
        <v>328860</v>
      </c>
      <c r="D294" s="197"/>
      <c r="E294" s="203"/>
      <c r="F294" s="203"/>
      <c r="G294" s="203"/>
      <c r="H294" s="197"/>
      <c r="I294" s="197"/>
      <c r="J294" s="197"/>
      <c r="K294" s="203"/>
      <c r="L294" s="187">
        <f>D287*L293</f>
        <v>115897.34659090909</v>
      </c>
      <c r="M294" s="192">
        <f>M293*D287</f>
        <v>865001.45454545447</v>
      </c>
      <c r="N294" s="192">
        <f>D287*N293</f>
        <v>-152914.85795454547</v>
      </c>
      <c r="O294" s="192">
        <f>L294+M294+N294</f>
        <v>827983.94318181812</v>
      </c>
    </row>
    <row r="295" spans="1:15" ht="13.95" hidden="1" customHeight="1">
      <c r="B295" s="101" t="s">
        <v>112</v>
      </c>
      <c r="C295" s="198">
        <f>SUM(C288:C294)</f>
        <v>6181420</v>
      </c>
      <c r="D295" s="197"/>
      <c r="E295" s="203"/>
      <c r="F295" s="203"/>
      <c r="G295" s="203"/>
      <c r="H295" s="197"/>
      <c r="I295" s="197"/>
      <c r="J295" s="197"/>
      <c r="K295" s="203"/>
      <c r="L295" s="187">
        <f>G287*L293</f>
        <v>888.10227272727275</v>
      </c>
      <c r="M295" s="192">
        <f>G287*M293</f>
        <v>6628.363636363636</v>
      </c>
      <c r="N295" s="192">
        <f>G287*N293</f>
        <v>-1171.7613636363637</v>
      </c>
      <c r="O295" s="192">
        <f>L295+M295+N295</f>
        <v>6344.704545454545</v>
      </c>
    </row>
    <row r="296" spans="1:15" ht="13.95" hidden="1" customHeight="1">
      <c r="L296" s="187">
        <f>H287*L293</f>
        <v>97247.198863636368</v>
      </c>
      <c r="M296" s="192">
        <f>H287*M293</f>
        <v>725805.81818181812</v>
      </c>
      <c r="N296" s="192">
        <f>H287*N293</f>
        <v>-128307.86931818182</v>
      </c>
      <c r="O296" s="192">
        <f>L296+M296+N296</f>
        <v>694745.14772727271</v>
      </c>
    </row>
    <row r="297" spans="1:15" ht="13.95" hidden="1" customHeight="1">
      <c r="L297" s="187">
        <f>I287*L293</f>
        <v>888.10227272727275</v>
      </c>
      <c r="M297" s="192">
        <f>I287*M293</f>
        <v>6628.363636363636</v>
      </c>
      <c r="N297" s="192">
        <f>I287*N293</f>
        <v>-1171.7613636363637</v>
      </c>
      <c r="O297" s="192">
        <f>L297+M297+N297</f>
        <v>6344.704545454545</v>
      </c>
    </row>
    <row r="298" spans="1:15" ht="13.95" hidden="1" customHeight="1">
      <c r="L298" s="187">
        <f>J287*L293</f>
        <v>19538.25</v>
      </c>
      <c r="M298" s="192">
        <f>J287*M293</f>
        <v>145824</v>
      </c>
      <c r="N298" s="192">
        <f>J287*N293</f>
        <v>-25778.750000000004</v>
      </c>
      <c r="O298" s="192">
        <f>L298+M298+N298</f>
        <v>139583.5</v>
      </c>
    </row>
    <row r="299" spans="1:15" ht="13.95" hidden="1" customHeight="1"/>
    <row r="300" spans="1:15" ht="13.95" hidden="1" customHeight="1">
      <c r="D300" s="180">
        <v>242</v>
      </c>
      <c r="E300" s="202"/>
      <c r="F300" s="202"/>
      <c r="G300" s="202">
        <v>1</v>
      </c>
      <c r="H300" s="180">
        <v>224</v>
      </c>
      <c r="I300" s="180">
        <v>3</v>
      </c>
      <c r="J300" s="180">
        <v>69</v>
      </c>
      <c r="K300" s="202">
        <f>D300+G300+H300+I300+J300</f>
        <v>539</v>
      </c>
      <c r="L300" s="189" t="s">
        <v>295</v>
      </c>
      <c r="M300" s="182" t="s">
        <v>296</v>
      </c>
      <c r="N300" s="182" t="s">
        <v>297</v>
      </c>
    </row>
    <row r="301" spans="1:15" ht="27.6" hidden="1" customHeight="1">
      <c r="A301" s="182" t="s">
        <v>299</v>
      </c>
      <c r="B301" s="193" t="s">
        <v>283</v>
      </c>
      <c r="C301" s="198">
        <v>98261</v>
      </c>
      <c r="D301" s="199"/>
      <c r="E301" s="203"/>
      <c r="F301" s="203"/>
      <c r="G301" s="203"/>
      <c r="H301" s="197"/>
      <c r="I301" s="197"/>
      <c r="J301" s="197"/>
      <c r="K301" s="203"/>
      <c r="L301" s="187">
        <f>C301+C303+C307</f>
        <v>598302</v>
      </c>
      <c r="M301" s="192">
        <f>C305</f>
        <v>874944</v>
      </c>
      <c r="N301" s="192">
        <f>C302+C304</f>
        <v>1479238</v>
      </c>
      <c r="O301" s="192">
        <f>L301+M301+N301</f>
        <v>2952484</v>
      </c>
    </row>
    <row r="302" spans="1:15" ht="13.95" hidden="1" customHeight="1">
      <c r="B302" s="89" t="s">
        <v>225</v>
      </c>
      <c r="C302" s="198">
        <v>1362189</v>
      </c>
      <c r="D302" s="199"/>
      <c r="E302" s="203"/>
      <c r="F302" s="203"/>
      <c r="G302" s="203"/>
      <c r="H302" s="197"/>
      <c r="I302" s="197"/>
      <c r="J302" s="197"/>
      <c r="K302" s="203"/>
      <c r="L302" s="187">
        <f>L301/K300</f>
        <v>1110.0222634508348</v>
      </c>
      <c r="M302" s="192">
        <f>M301/K300</f>
        <v>1623.2727272727273</v>
      </c>
      <c r="N302" s="192">
        <f>N301/K300</f>
        <v>2744.4118738404454</v>
      </c>
    </row>
    <row r="303" spans="1:15" ht="13.95" hidden="1" customHeight="1">
      <c r="B303" s="89" t="s">
        <v>225</v>
      </c>
      <c r="C303" s="198">
        <v>164828</v>
      </c>
      <c r="D303" s="199"/>
      <c r="E303" s="203"/>
      <c r="F303" s="203"/>
      <c r="G303" s="203"/>
      <c r="H303" s="197"/>
      <c r="I303" s="197"/>
      <c r="J303" s="197"/>
      <c r="K303" s="203"/>
    </row>
    <row r="304" spans="1:15" ht="13.95" hidden="1" customHeight="1">
      <c r="B304" s="89" t="s">
        <v>282</v>
      </c>
      <c r="C304" s="198">
        <v>117049</v>
      </c>
      <c r="D304" s="199"/>
      <c r="E304" s="203"/>
      <c r="F304" s="203"/>
      <c r="G304" s="203"/>
      <c r="H304" s="197"/>
      <c r="I304" s="197"/>
      <c r="J304" s="197"/>
      <c r="K304" s="203"/>
      <c r="L304" s="187">
        <f>C301+C303+575056</f>
        <v>838145</v>
      </c>
      <c r="M304" s="192">
        <f>2624832</f>
        <v>2624832</v>
      </c>
      <c r="N304" s="192">
        <f>C302</f>
        <v>1362189</v>
      </c>
    </row>
    <row r="305" spans="1:15" ht="13.95" hidden="1" customHeight="1">
      <c r="B305" s="89" t="s">
        <v>289</v>
      </c>
      <c r="C305" s="198">
        <v>874944</v>
      </c>
      <c r="D305" s="197"/>
      <c r="E305" s="203"/>
      <c r="F305" s="203"/>
      <c r="G305" s="203"/>
      <c r="H305" s="197"/>
      <c r="I305" s="197"/>
      <c r="J305" s="197"/>
      <c r="K305" s="203"/>
      <c r="L305" s="187">
        <f>L304-L301</f>
        <v>239843</v>
      </c>
      <c r="M305" s="192">
        <f>M304-M301</f>
        <v>1749888</v>
      </c>
      <c r="N305" s="192">
        <f>N304-N301</f>
        <v>-117049</v>
      </c>
    </row>
    <row r="306" spans="1:15" ht="13.95" hidden="1" customHeight="1">
      <c r="B306" s="89" t="s">
        <v>257</v>
      </c>
      <c r="C306" s="198">
        <v>0</v>
      </c>
      <c r="D306" s="197"/>
      <c r="E306" s="203"/>
      <c r="F306" s="203"/>
      <c r="G306" s="203"/>
      <c r="H306" s="197"/>
      <c r="I306" s="197"/>
      <c r="J306" s="197"/>
      <c r="K306" s="203"/>
      <c r="L306" s="187">
        <f>L305/K300</f>
        <v>444.97773654916512</v>
      </c>
      <c r="M306" s="192">
        <f>M305/K300</f>
        <v>3246.5454545454545</v>
      </c>
      <c r="N306" s="192">
        <f>N305/K300</f>
        <v>-217.1595547309833</v>
      </c>
    </row>
    <row r="307" spans="1:15" ht="13.95" hidden="1" customHeight="1">
      <c r="B307" s="89" t="s">
        <v>290</v>
      </c>
      <c r="C307" s="198">
        <v>335213</v>
      </c>
      <c r="D307" s="197"/>
      <c r="E307" s="203"/>
      <c r="F307" s="203"/>
      <c r="G307" s="203"/>
      <c r="H307" s="197"/>
      <c r="I307" s="197"/>
      <c r="J307" s="197"/>
      <c r="K307" s="203"/>
      <c r="L307" s="187">
        <f>D300*L306</f>
        <v>107684.61224489796</v>
      </c>
      <c r="M307" s="192">
        <f>D300*M306</f>
        <v>785664</v>
      </c>
      <c r="N307" s="192">
        <f>D300*N306</f>
        <v>-52552.612244897959</v>
      </c>
      <c r="O307" s="192">
        <f>L307+M307+N307</f>
        <v>840796</v>
      </c>
    </row>
    <row r="308" spans="1:15" ht="13.95" hidden="1" customHeight="1">
      <c r="B308" s="101" t="s">
        <v>112</v>
      </c>
      <c r="C308" s="198">
        <f>SUM(C301:C307)</f>
        <v>2952484</v>
      </c>
      <c r="D308" s="197"/>
      <c r="E308" s="203"/>
      <c r="F308" s="203"/>
      <c r="G308" s="203"/>
      <c r="H308" s="197"/>
      <c r="I308" s="197"/>
      <c r="J308" s="197"/>
      <c r="K308" s="203"/>
      <c r="L308" s="187">
        <f>G300*L306</f>
        <v>444.97773654916512</v>
      </c>
      <c r="M308" s="192">
        <f>G300*M306</f>
        <v>3246.5454545454545</v>
      </c>
      <c r="N308" s="192">
        <f>G300*N306</f>
        <v>-217.1595547309833</v>
      </c>
      <c r="O308" s="192">
        <f>L308+M308+N308</f>
        <v>3474.363636363636</v>
      </c>
    </row>
    <row r="309" spans="1:15" ht="13.95" hidden="1" customHeight="1">
      <c r="L309" s="187">
        <f>H300*L306</f>
        <v>99675.012987012989</v>
      </c>
      <c r="M309" s="192">
        <f>H300*M306</f>
        <v>727226.18181818177</v>
      </c>
      <c r="N309" s="192">
        <f>H300*N306</f>
        <v>-48643.740259740262</v>
      </c>
      <c r="O309" s="192">
        <f>L309+M309+N309</f>
        <v>778257.45454545447</v>
      </c>
    </row>
    <row r="310" spans="1:15" ht="13.95" hidden="1" customHeight="1">
      <c r="L310" s="187">
        <f>I300*L306</f>
        <v>1334.9332096474955</v>
      </c>
      <c r="M310" s="192">
        <f>I300*M306</f>
        <v>9739.636363636364</v>
      </c>
      <c r="N310" s="192">
        <f>I300*N306</f>
        <v>-651.47866419294996</v>
      </c>
      <c r="O310" s="192">
        <f>L310+M310+N310</f>
        <v>10423.09090909091</v>
      </c>
    </row>
    <row r="311" spans="1:15" ht="13.95" hidden="1" customHeight="1">
      <c r="L311" s="187">
        <f>J300*L306</f>
        <v>30703.463821892394</v>
      </c>
      <c r="M311" s="192">
        <f>J300*M306</f>
        <v>224011.63636363635</v>
      </c>
      <c r="N311" s="192">
        <f>J300*N306</f>
        <v>-14984.009276437848</v>
      </c>
      <c r="O311" s="192">
        <f>L311+M311+N311</f>
        <v>239731.09090909091</v>
      </c>
    </row>
    <row r="312" spans="1:15" ht="13.95" hidden="1" customHeight="1"/>
    <row r="313" spans="1:15" ht="13.95" hidden="1" customHeight="1">
      <c r="D313" s="180">
        <v>206</v>
      </c>
      <c r="E313" s="202"/>
      <c r="F313" s="202"/>
      <c r="G313" s="202">
        <v>5</v>
      </c>
      <c r="H313" s="180">
        <v>238</v>
      </c>
      <c r="I313" s="180">
        <v>1</v>
      </c>
      <c r="J313" s="180">
        <v>33</v>
      </c>
      <c r="K313" s="202">
        <f>D313+G313+H313+I313+J313</f>
        <v>483</v>
      </c>
      <c r="L313" s="189" t="s">
        <v>295</v>
      </c>
      <c r="M313" s="182" t="s">
        <v>296</v>
      </c>
      <c r="N313" s="182" t="s">
        <v>297</v>
      </c>
    </row>
    <row r="314" spans="1:15" ht="27.6" hidden="1" customHeight="1">
      <c r="A314" s="182" t="s">
        <v>300</v>
      </c>
      <c r="B314" s="193" t="s">
        <v>283</v>
      </c>
      <c r="C314" s="198">
        <v>88052</v>
      </c>
      <c r="D314" s="199"/>
      <c r="E314" s="203"/>
      <c r="F314" s="203"/>
      <c r="G314" s="203"/>
      <c r="H314" s="197"/>
      <c r="I314" s="197"/>
      <c r="J314" s="197"/>
      <c r="K314" s="203"/>
      <c r="L314" s="187">
        <f>C314+C320</f>
        <v>388924</v>
      </c>
      <c r="M314" s="192">
        <f>C318+C319</f>
        <v>1185246</v>
      </c>
      <c r="N314" s="192">
        <f>C315+C317</f>
        <v>2227002</v>
      </c>
      <c r="O314" s="192">
        <f>L314+M314+N314</f>
        <v>3801172</v>
      </c>
    </row>
    <row r="315" spans="1:15" ht="13.95" hidden="1" customHeight="1">
      <c r="B315" s="89" t="s">
        <v>225</v>
      </c>
      <c r="C315" s="198">
        <v>2026333</v>
      </c>
      <c r="D315" s="199"/>
      <c r="E315" s="203"/>
      <c r="F315" s="203"/>
      <c r="G315" s="203"/>
      <c r="H315" s="197"/>
      <c r="I315" s="197"/>
      <c r="J315" s="197"/>
      <c r="K315" s="203"/>
      <c r="L315" s="187">
        <f>L314/K313</f>
        <v>805.22567287784682</v>
      </c>
      <c r="M315" s="192">
        <f>M314/K313</f>
        <v>2453.9254658385094</v>
      </c>
      <c r="N315" s="192">
        <f>N314/K313</f>
        <v>4610.7701863354041</v>
      </c>
    </row>
    <row r="316" spans="1:15" ht="13.95" hidden="1" customHeight="1">
      <c r="B316" s="89" t="s">
        <v>225</v>
      </c>
      <c r="C316" s="198">
        <v>0</v>
      </c>
      <c r="D316" s="199"/>
      <c r="E316" s="203"/>
      <c r="F316" s="203"/>
      <c r="G316" s="203"/>
      <c r="H316" s="197"/>
      <c r="I316" s="197"/>
      <c r="J316" s="197"/>
      <c r="K316" s="203"/>
    </row>
    <row r="317" spans="1:15" ht="13.95" hidden="1" customHeight="1">
      <c r="B317" s="89" t="s">
        <v>282</v>
      </c>
      <c r="C317" s="198">
        <v>200669</v>
      </c>
      <c r="D317" s="199"/>
      <c r="E317" s="203"/>
      <c r="F317" s="203"/>
      <c r="G317" s="203"/>
      <c r="H317" s="197"/>
      <c r="I317" s="197"/>
      <c r="J317" s="197"/>
      <c r="K317" s="203"/>
      <c r="L317" s="187">
        <f>C314+515309</f>
        <v>603361</v>
      </c>
      <c r="M317" s="192">
        <f>C319+2499840</f>
        <v>2851806</v>
      </c>
      <c r="N317" s="192">
        <f>C315</f>
        <v>2026333</v>
      </c>
    </row>
    <row r="318" spans="1:15" ht="13.95" hidden="1" customHeight="1">
      <c r="B318" s="89" t="s">
        <v>289</v>
      </c>
      <c r="C318" s="198">
        <v>833280</v>
      </c>
      <c r="D318" s="197"/>
      <c r="E318" s="203"/>
      <c r="F318" s="203"/>
      <c r="G318" s="203"/>
      <c r="H318" s="197"/>
      <c r="I318" s="197"/>
      <c r="J318" s="197"/>
      <c r="K318" s="203"/>
      <c r="L318" s="187">
        <f>L317-L314</f>
        <v>214437</v>
      </c>
      <c r="M318" s="192">
        <f>M317-M314</f>
        <v>1666560</v>
      </c>
      <c r="N318" s="192">
        <f>N317-N314</f>
        <v>-200669</v>
      </c>
    </row>
    <row r="319" spans="1:15" ht="13.95" hidden="1" customHeight="1">
      <c r="B319" s="89" t="s">
        <v>257</v>
      </c>
      <c r="C319" s="198">
        <v>351966</v>
      </c>
      <c r="D319" s="197"/>
      <c r="E319" s="203"/>
      <c r="F319" s="203"/>
      <c r="G319" s="203"/>
      <c r="H319" s="197"/>
      <c r="I319" s="197"/>
      <c r="J319" s="197"/>
      <c r="K319" s="203"/>
      <c r="L319" s="187">
        <f>L318/K313</f>
        <v>443.96894409937886</v>
      </c>
      <c r="M319" s="192">
        <f>M318/K313</f>
        <v>3450.4347826086955</v>
      </c>
      <c r="N319" s="192">
        <f>N318/K313</f>
        <v>-415.463768115942</v>
      </c>
    </row>
    <row r="320" spans="1:15" ht="13.95" hidden="1" customHeight="1">
      <c r="B320" s="89" t="s">
        <v>290</v>
      </c>
      <c r="C320" s="198">
        <v>300872</v>
      </c>
      <c r="D320" s="197"/>
      <c r="E320" s="203"/>
      <c r="F320" s="203"/>
      <c r="G320" s="203"/>
      <c r="H320" s="197"/>
      <c r="I320" s="197"/>
      <c r="J320" s="197"/>
      <c r="K320" s="203"/>
      <c r="L320" s="187">
        <f>D313*L319</f>
        <v>91457.602484472038</v>
      </c>
      <c r="M320" s="192">
        <f>M319*D313</f>
        <v>710789.56521739124</v>
      </c>
      <c r="N320" s="192">
        <f>D313*N319</f>
        <v>-85585.536231884049</v>
      </c>
      <c r="O320" s="192">
        <f>L320+M320+N320</f>
        <v>716661.63146997918</v>
      </c>
    </row>
    <row r="321" spans="1:17" ht="13.95" hidden="1" customHeight="1">
      <c r="B321" s="101" t="s">
        <v>112</v>
      </c>
      <c r="C321" s="198">
        <f>SUM(C314:C320)</f>
        <v>3801172</v>
      </c>
      <c r="D321" s="197"/>
      <c r="E321" s="203"/>
      <c r="F321" s="203"/>
      <c r="G321" s="203"/>
      <c r="H321" s="197"/>
      <c r="I321" s="197"/>
      <c r="J321" s="197"/>
      <c r="K321" s="203"/>
      <c r="L321" s="187">
        <f>G313*L319</f>
        <v>2219.8447204968943</v>
      </c>
      <c r="M321" s="192">
        <f>G313*M319</f>
        <v>17252.173913043476</v>
      </c>
      <c r="N321" s="192">
        <f>G313*N319</f>
        <v>-2077.31884057971</v>
      </c>
      <c r="O321" s="192">
        <f>L321+M321+N321</f>
        <v>17394.699792960659</v>
      </c>
    </row>
    <row r="322" spans="1:17" ht="13.95" hidden="1" customHeight="1">
      <c r="L322" s="187">
        <f>H313*L319</f>
        <v>105664.60869565216</v>
      </c>
      <c r="M322" s="192">
        <f>H313*M319</f>
        <v>821203.47826086951</v>
      </c>
      <c r="N322" s="192">
        <f>H313*N319</f>
        <v>-98880.376811594193</v>
      </c>
      <c r="O322" s="192">
        <f>L322+M322+N322</f>
        <v>827987.71014492749</v>
      </c>
    </row>
    <row r="323" spans="1:17" ht="13.95" hidden="1" customHeight="1">
      <c r="L323" s="187">
        <f>I313*L319</f>
        <v>443.96894409937886</v>
      </c>
      <c r="M323" s="192">
        <f>I313*M319</f>
        <v>3450.4347826086955</v>
      </c>
      <c r="N323" s="192">
        <f>I313*N319</f>
        <v>-415.463768115942</v>
      </c>
      <c r="O323" s="192">
        <f>L323+M323+N323</f>
        <v>3478.9399585921324</v>
      </c>
    </row>
    <row r="324" spans="1:17" ht="13.95" hidden="1" customHeight="1">
      <c r="L324" s="187">
        <f>J313*L319</f>
        <v>14650.975155279502</v>
      </c>
      <c r="M324" s="192">
        <f>J313*M319</f>
        <v>113864.34782608695</v>
      </c>
      <c r="N324" s="192">
        <f>J313*N319</f>
        <v>-13710.304347826086</v>
      </c>
      <c r="O324" s="192">
        <f>L324+M324+N324</f>
        <v>114805.01863354037</v>
      </c>
    </row>
    <row r="325" spans="1:17" ht="13.95" hidden="1" customHeight="1">
      <c r="N325" s="182" t="s">
        <v>295</v>
      </c>
      <c r="O325" s="182" t="s">
        <v>296</v>
      </c>
      <c r="P325" s="182" t="s">
        <v>297</v>
      </c>
    </row>
    <row r="326" spans="1:17" ht="13.95" hidden="1" customHeight="1">
      <c r="D326" s="180">
        <v>316</v>
      </c>
      <c r="E326" s="202"/>
      <c r="F326" s="202"/>
      <c r="G326" s="202">
        <v>2</v>
      </c>
      <c r="H326" s="180">
        <v>196</v>
      </c>
      <c r="I326" s="180">
        <v>206</v>
      </c>
      <c r="J326" s="180">
        <v>1</v>
      </c>
      <c r="K326" s="202">
        <v>51</v>
      </c>
      <c r="L326" s="202">
        <v>53</v>
      </c>
      <c r="M326" s="180">
        <f>D326+G326+H326+I326+J326+K326+L326</f>
        <v>825</v>
      </c>
    </row>
    <row r="327" spans="1:17" ht="27.6" hidden="1" customHeight="1">
      <c r="A327" s="182" t="s">
        <v>301</v>
      </c>
      <c r="B327" s="193" t="s">
        <v>283</v>
      </c>
      <c r="C327" s="185">
        <v>150399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  <c r="N327" s="192">
        <f>C327+C333</f>
        <v>662764</v>
      </c>
      <c r="O327" s="192">
        <f>C331+C332</f>
        <v>1800175</v>
      </c>
      <c r="P327" s="192">
        <f>C328+C330</f>
        <v>182500</v>
      </c>
      <c r="Q327" s="192">
        <f>N327+O327+P327</f>
        <v>2645439</v>
      </c>
    </row>
    <row r="328" spans="1:17" ht="13.95" hidden="1" customHeight="1">
      <c r="B328" s="89" t="s">
        <v>225</v>
      </c>
      <c r="C328" s="185">
        <v>179700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N327/M326</f>
        <v>803.35030303030305</v>
      </c>
      <c r="O328" s="192">
        <f>O327/M326</f>
        <v>2182.030303030303</v>
      </c>
      <c r="P328" s="192">
        <f>P327/M326</f>
        <v>221.21212121212122</v>
      </c>
    </row>
    <row r="329" spans="1:17" ht="13.95" hidden="1" customHeight="1">
      <c r="B329" s="89" t="s">
        <v>225</v>
      </c>
      <c r="C329" s="185">
        <v>0</v>
      </c>
      <c r="D329" s="199"/>
      <c r="E329" s="203"/>
      <c r="F329" s="203"/>
      <c r="G329" s="203"/>
      <c r="H329" s="197"/>
      <c r="I329" s="197"/>
      <c r="J329" s="197"/>
      <c r="K329" s="202"/>
      <c r="L329" s="202"/>
      <c r="M329" s="180"/>
    </row>
    <row r="330" spans="1:17" ht="13.95" hidden="1" customHeight="1">
      <c r="B330" s="89" t="s">
        <v>282</v>
      </c>
      <c r="C330" s="185">
        <v>2800</v>
      </c>
      <c r="D330" s="199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C327+880187</f>
        <v>1030586</v>
      </c>
      <c r="O330" s="192">
        <f>C332+3874752</f>
        <v>4383343</v>
      </c>
      <c r="P330" s="192">
        <f>C328</f>
        <v>179700</v>
      </c>
    </row>
    <row r="331" spans="1:17" ht="13.95" hidden="1" customHeight="1">
      <c r="B331" s="89" t="s">
        <v>289</v>
      </c>
      <c r="C331" s="185">
        <v>1291584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N330-N327</f>
        <v>367822</v>
      </c>
      <c r="O331" s="192">
        <f>O330-O327</f>
        <v>2583168</v>
      </c>
      <c r="P331" s="192">
        <f>P330-P327</f>
        <v>-2800</v>
      </c>
    </row>
    <row r="332" spans="1:17" ht="13.95" hidden="1" customHeight="1">
      <c r="B332" s="89" t="s">
        <v>257</v>
      </c>
      <c r="C332" s="185">
        <v>508591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N331/M326</f>
        <v>445.84484848484851</v>
      </c>
      <c r="O332" s="192">
        <f>O331/M326</f>
        <v>3131.1127272727272</v>
      </c>
      <c r="P332" s="192">
        <f>P331/M326</f>
        <v>-3.393939393939394</v>
      </c>
    </row>
    <row r="333" spans="1:17" ht="13.95" hidden="1" customHeight="1">
      <c r="B333" s="89" t="s">
        <v>290</v>
      </c>
      <c r="C333" s="185">
        <v>512365</v>
      </c>
      <c r="D333" s="197"/>
      <c r="E333" s="203"/>
      <c r="F333" s="203"/>
      <c r="G333" s="203"/>
      <c r="H333" s="197"/>
      <c r="I333" s="197"/>
      <c r="J333" s="197"/>
      <c r="K333" s="202"/>
      <c r="L333" s="202"/>
      <c r="M333" s="180"/>
      <c r="N333" s="192">
        <f>D326*N332</f>
        <v>140886.97212121214</v>
      </c>
      <c r="O333" s="192">
        <f>D326*O332</f>
        <v>989431.62181818183</v>
      </c>
      <c r="P333" s="192">
        <f>D326*P332</f>
        <v>-1072.4848484848485</v>
      </c>
      <c r="Q333" s="192">
        <f>N333+O333+P333</f>
        <v>1129246.1090909091</v>
      </c>
    </row>
    <row r="334" spans="1:17" ht="13.95" hidden="1" customHeight="1">
      <c r="B334" s="101" t="s">
        <v>112</v>
      </c>
      <c r="C334" s="198">
        <f>SUM(C327:C333)</f>
        <v>2645439</v>
      </c>
      <c r="D334" s="197"/>
      <c r="E334" s="203"/>
      <c r="F334" s="203"/>
      <c r="G334" s="203"/>
      <c r="H334" s="197"/>
      <c r="I334" s="197"/>
      <c r="J334" s="197"/>
      <c r="K334" s="202"/>
      <c r="L334" s="202"/>
      <c r="M334" s="180"/>
      <c r="N334" s="192">
        <f>G326*N332</f>
        <v>891.68969696969702</v>
      </c>
      <c r="O334" s="192">
        <f>G326*O332</f>
        <v>6262.2254545454543</v>
      </c>
      <c r="P334" s="192">
        <f>G326*P332</f>
        <v>-6.7878787878787881</v>
      </c>
      <c r="Q334" s="192">
        <f t="shared" ref="Q334:Q339" si="57">N334+O334+P334</f>
        <v>7147.1272727272726</v>
      </c>
    </row>
    <row r="335" spans="1:17" ht="13.95" hidden="1" customHeight="1">
      <c r="N335" s="192">
        <f>H326*N332</f>
        <v>87385.590303030302</v>
      </c>
      <c r="O335" s="192">
        <f>H326*O332</f>
        <v>613698.09454545449</v>
      </c>
      <c r="P335" s="192">
        <f>H326*P332</f>
        <v>-665.21212121212125</v>
      </c>
      <c r="Q335" s="192">
        <f t="shared" si="57"/>
        <v>700418.47272727266</v>
      </c>
    </row>
    <row r="336" spans="1:17" ht="13.95" hidden="1" customHeight="1">
      <c r="N336" s="192">
        <f>I326*N332</f>
        <v>91844.038787878788</v>
      </c>
      <c r="O336" s="192">
        <f>I326*O332</f>
        <v>645009.2218181818</v>
      </c>
      <c r="P336" s="192">
        <f>I326*P332</f>
        <v>-699.15151515151513</v>
      </c>
      <c r="Q336" s="192">
        <f t="shared" si="57"/>
        <v>736154.10909090913</v>
      </c>
    </row>
    <row r="337" spans="1:17" ht="13.95" hidden="1" customHeight="1">
      <c r="N337" s="192">
        <f>J326*N332</f>
        <v>445.84484848484851</v>
      </c>
      <c r="O337" s="192">
        <f>J326*O332</f>
        <v>3131.1127272727272</v>
      </c>
      <c r="P337" s="192">
        <f>J326*P332</f>
        <v>-3.393939393939394</v>
      </c>
      <c r="Q337" s="192">
        <f t="shared" si="57"/>
        <v>3573.5636363636363</v>
      </c>
    </row>
    <row r="338" spans="1:17" ht="13.95" hidden="1" customHeight="1">
      <c r="N338" s="192">
        <f>K326*N332</f>
        <v>22738.087272727273</v>
      </c>
      <c r="O338" s="192">
        <f>K326*O332</f>
        <v>159686.74909090908</v>
      </c>
      <c r="P338" s="192">
        <f>K326*P332</f>
        <v>-173.09090909090909</v>
      </c>
      <c r="Q338" s="192">
        <f t="shared" si="57"/>
        <v>182251.74545454545</v>
      </c>
    </row>
    <row r="339" spans="1:17" ht="13.95" hidden="1" customHeight="1">
      <c r="N339" s="192">
        <f>L326*N332</f>
        <v>23629.77696969697</v>
      </c>
      <c r="O339" s="192">
        <f>L326*O332</f>
        <v>165948.97454545455</v>
      </c>
      <c r="P339" s="192">
        <f>L326*P332</f>
        <v>-179.87878787878788</v>
      </c>
      <c r="Q339" s="192">
        <f t="shared" si="57"/>
        <v>189398.87272727274</v>
      </c>
    </row>
    <row r="340" spans="1:17" ht="13.95" hidden="1" customHeight="1">
      <c r="M340" s="182" t="s">
        <v>295</v>
      </c>
      <c r="N340" s="182" t="s">
        <v>296</v>
      </c>
      <c r="O340" s="182" t="s">
        <v>297</v>
      </c>
    </row>
    <row r="341" spans="1:17" ht="13.95" hidden="1" customHeight="1">
      <c r="D341" s="180">
        <v>67</v>
      </c>
      <c r="E341" s="202"/>
      <c r="F341" s="202"/>
      <c r="G341" s="202">
        <v>17</v>
      </c>
      <c r="H341" s="180">
        <v>1</v>
      </c>
      <c r="I341" s="180">
        <v>72</v>
      </c>
      <c r="J341" s="180">
        <v>44</v>
      </c>
      <c r="K341" s="202">
        <v>17</v>
      </c>
      <c r="L341" s="202">
        <f>D341+G341+H341+I341+J341+K341</f>
        <v>218</v>
      </c>
    </row>
    <row r="342" spans="1:17" ht="27.6" hidden="1" customHeight="1">
      <c r="A342" s="182" t="s">
        <v>302</v>
      </c>
      <c r="B342" s="193" t="s">
        <v>283</v>
      </c>
      <c r="C342" s="198">
        <v>39742</v>
      </c>
      <c r="D342" s="199"/>
      <c r="E342" s="203"/>
      <c r="F342" s="203"/>
      <c r="G342" s="203"/>
      <c r="H342" s="197"/>
      <c r="I342" s="197"/>
      <c r="J342" s="197"/>
      <c r="K342" s="203"/>
      <c r="L342" s="203"/>
      <c r="M342" s="192">
        <f>C342+C344+C348</f>
        <v>195953</v>
      </c>
      <c r="N342" s="192">
        <f>C346+C347</f>
        <v>542463</v>
      </c>
      <c r="O342" s="192">
        <f>C343+C345</f>
        <v>2064267</v>
      </c>
      <c r="P342" s="192">
        <f>M342+N342+O342</f>
        <v>2802683</v>
      </c>
    </row>
    <row r="343" spans="1:17" ht="13.95" hidden="1" customHeight="1">
      <c r="B343" s="89" t="s">
        <v>225</v>
      </c>
      <c r="C343" s="198">
        <v>1880332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M342/L341</f>
        <v>898.86697247706422</v>
      </c>
      <c r="N343" s="192">
        <f>N342/L341</f>
        <v>2488.3623853211011</v>
      </c>
      <c r="O343" s="192">
        <f>O342/L341</f>
        <v>9469.1146788990827</v>
      </c>
    </row>
    <row r="344" spans="1:17" ht="13.95" hidden="1" customHeight="1">
      <c r="B344" s="89" t="s">
        <v>225</v>
      </c>
      <c r="C344" s="198">
        <v>21109</v>
      </c>
      <c r="D344" s="199"/>
      <c r="E344" s="203"/>
      <c r="F344" s="203"/>
      <c r="G344" s="203"/>
      <c r="H344" s="197"/>
      <c r="I344" s="197"/>
      <c r="J344" s="197"/>
      <c r="K344" s="203"/>
      <c r="L344" s="202"/>
    </row>
    <row r="345" spans="1:17" ht="13.95" hidden="1" customHeight="1">
      <c r="B345" s="89" t="s">
        <v>282</v>
      </c>
      <c r="C345" s="198">
        <v>183935</v>
      </c>
      <c r="D345" s="199"/>
      <c r="E345" s="203"/>
      <c r="F345" s="203"/>
      <c r="G345" s="203"/>
      <c r="H345" s="197"/>
      <c r="I345" s="197"/>
      <c r="J345" s="197"/>
      <c r="K345" s="203"/>
      <c r="L345" s="202"/>
      <c r="M345" s="192">
        <f>C342+232583</f>
        <v>272325</v>
      </c>
      <c r="N345" s="192">
        <f>C347+1499904</f>
        <v>1542399</v>
      </c>
      <c r="O345" s="192">
        <f>C343</f>
        <v>1880332</v>
      </c>
    </row>
    <row r="346" spans="1:17" ht="13.95" hidden="1" customHeight="1">
      <c r="B346" s="89" t="s">
        <v>289</v>
      </c>
      <c r="C346" s="198">
        <v>499968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M345-M342</f>
        <v>76372</v>
      </c>
      <c r="N346" s="192">
        <f>N345-N342</f>
        <v>999936</v>
      </c>
      <c r="O346" s="192">
        <f>O345-O342</f>
        <v>-183935</v>
      </c>
    </row>
    <row r="347" spans="1:17" ht="13.95" hidden="1" customHeight="1">
      <c r="B347" s="89" t="s">
        <v>257</v>
      </c>
      <c r="C347" s="198">
        <v>42495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M346/L341</f>
        <v>350.33027522935782</v>
      </c>
      <c r="N347" s="192">
        <f>N346/L341</f>
        <v>4586.8623853211011</v>
      </c>
      <c r="O347" s="192">
        <f>O346/L341</f>
        <v>-843.7385321100918</v>
      </c>
    </row>
    <row r="348" spans="1:17" ht="13.95" hidden="1" customHeight="1">
      <c r="B348" s="89" t="s">
        <v>290</v>
      </c>
      <c r="C348" s="198">
        <v>135102</v>
      </c>
      <c r="D348" s="197"/>
      <c r="E348" s="203"/>
      <c r="F348" s="203"/>
      <c r="G348" s="203"/>
      <c r="H348" s="197"/>
      <c r="I348" s="197"/>
      <c r="J348" s="197"/>
      <c r="K348" s="203"/>
      <c r="L348" s="202"/>
      <c r="M348" s="192">
        <f>D341*M347</f>
        <v>23472.128440366974</v>
      </c>
      <c r="N348" s="192">
        <f>D341*N347</f>
        <v>307319.77981651376</v>
      </c>
      <c r="O348" s="192">
        <f>D341*O347</f>
        <v>-56530.481651376147</v>
      </c>
      <c r="P348" s="192">
        <f t="shared" ref="P348:P353" si="58">M348+N348+O348</f>
        <v>274261.42660550459</v>
      </c>
    </row>
    <row r="349" spans="1:17" ht="13.95" hidden="1" customHeight="1">
      <c r="B349" s="101" t="s">
        <v>112</v>
      </c>
      <c r="C349" s="198">
        <f>SUM(C342:C348)</f>
        <v>2802683</v>
      </c>
      <c r="D349" s="197"/>
      <c r="E349" s="203"/>
      <c r="F349" s="203"/>
      <c r="G349" s="203"/>
      <c r="H349" s="197"/>
      <c r="I349" s="197"/>
      <c r="J349" s="197"/>
      <c r="K349" s="203"/>
      <c r="L349" s="202"/>
      <c r="M349" s="192">
        <f>G341*M347</f>
        <v>5955.6146788990827</v>
      </c>
      <c r="N349" s="192">
        <f>G341*N347</f>
        <v>77976.660550458721</v>
      </c>
      <c r="O349" s="192">
        <f>G341*O347</f>
        <v>-14343.555045871561</v>
      </c>
      <c r="P349" s="192">
        <f t="shared" si="58"/>
        <v>69588.72018348625</v>
      </c>
    </row>
    <row r="350" spans="1:17" ht="13.95" hidden="1" customHeight="1">
      <c r="M350" s="192">
        <f>H341*M347</f>
        <v>350.33027522935782</v>
      </c>
      <c r="N350" s="192">
        <f>H341*N347</f>
        <v>4586.8623853211011</v>
      </c>
      <c r="O350" s="192">
        <f>H341*O347</f>
        <v>-843.7385321100918</v>
      </c>
      <c r="P350" s="192">
        <f t="shared" si="58"/>
        <v>4093.4541284403667</v>
      </c>
    </row>
    <row r="351" spans="1:17" ht="13.95" hidden="1" customHeight="1">
      <c r="M351" s="192">
        <f>I341*M347</f>
        <v>25223.779816513765</v>
      </c>
      <c r="N351" s="192">
        <f>I341*N347</f>
        <v>330254.09174311929</v>
      </c>
      <c r="O351" s="192">
        <f>I341*O347</f>
        <v>-60749.17431192661</v>
      </c>
      <c r="P351" s="192">
        <f t="shared" si="58"/>
        <v>294728.69724770647</v>
      </c>
    </row>
    <row r="352" spans="1:17" ht="13.95" hidden="1" customHeight="1">
      <c r="M352" s="192">
        <f>J341*M347</f>
        <v>15414.532110091744</v>
      </c>
      <c r="N352" s="192">
        <f>J341*N347</f>
        <v>201821.94495412844</v>
      </c>
      <c r="O352" s="192">
        <f>J341*O347</f>
        <v>-37124.495412844037</v>
      </c>
      <c r="P352" s="192">
        <f t="shared" si="58"/>
        <v>180111.98165137615</v>
      </c>
    </row>
    <row r="353" spans="13:16" ht="13.95" hidden="1" customHeight="1">
      <c r="M353" s="192">
        <f>K341*M347</f>
        <v>5955.6146788990827</v>
      </c>
      <c r="N353" s="192">
        <f>K341*N347</f>
        <v>77976.660550458721</v>
      </c>
      <c r="O353" s="192">
        <f>K341*O347</f>
        <v>-14343.555045871561</v>
      </c>
      <c r="P353" s="192">
        <f t="shared" si="58"/>
        <v>69588.72018348625</v>
      </c>
    </row>
    <row r="354" spans="13:16" ht="13.95" hidden="1" customHeight="1"/>
    <row r="355" spans="13:16" ht="13.95" hidden="1" customHeight="1"/>
    <row r="356" spans="13:16" ht="13.95" hidden="1" customHeight="1"/>
    <row r="357" spans="13:16" ht="13.95" hidden="1" customHeight="1"/>
    <row r="358" spans="13:16" ht="13.95" hidden="1" customHeight="1"/>
    <row r="359" spans="13:16" ht="13.95" hidden="1" customHeight="1"/>
    <row r="360" spans="13:16" ht="13.95" hidden="1" customHeight="1"/>
    <row r="361" spans="13:16" ht="13.95" hidden="1" customHeight="1"/>
    <row r="362" spans="13:16" ht="13.95" hidden="1" customHeight="1"/>
    <row r="363" spans="13:16" ht="13.95" hidden="1" customHeight="1"/>
    <row r="364" spans="13:16" ht="13.95" hidden="1" customHeight="1"/>
    <row r="365" spans="13:16" ht="13.95" hidden="1" customHeight="1"/>
    <row r="366" spans="13:16" ht="13.95" hidden="1" customHeight="1"/>
    <row r="367" spans="13:16" ht="13.95" hidden="1" customHeight="1"/>
    <row r="368" spans="13:16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  <row r="506" ht="13.95" hidden="1" customHeight="1"/>
    <row r="507" ht="13.95" hidden="1" customHeight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7"/>
    <mergeCell ref="B12:B23"/>
    <mergeCell ref="B24:B30"/>
    <mergeCell ref="A48:A82"/>
    <mergeCell ref="B48:B58"/>
    <mergeCell ref="B59:B66"/>
    <mergeCell ref="B68:B71"/>
    <mergeCell ref="B32:B36"/>
    <mergeCell ref="B221:M221"/>
    <mergeCell ref="A83:A115"/>
    <mergeCell ref="B83:B92"/>
    <mergeCell ref="B93:B98"/>
    <mergeCell ref="B100:B104"/>
    <mergeCell ref="A189:A220"/>
    <mergeCell ref="B189:B197"/>
    <mergeCell ref="B198:B200"/>
    <mergeCell ref="A116:A150"/>
    <mergeCell ref="B116:B126"/>
    <mergeCell ref="B127:B134"/>
    <mergeCell ref="B136:B139"/>
    <mergeCell ref="A151:A188"/>
    <mergeCell ref="B151:B162"/>
    <mergeCell ref="B163:B171"/>
    <mergeCell ref="B172:B177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6"/>
  <sheetViews>
    <sheetView zoomScale="70" zoomScaleNormal="70" workbookViewId="0">
      <pane xSplit="1" ySplit="12" topLeftCell="B110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12.5546875" style="225" customWidth="1"/>
    <col min="6" max="6" width="12.88671875" style="225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331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382</v>
      </c>
      <c r="U6" s="224"/>
      <c r="V6" s="224"/>
    </row>
    <row r="7" spans="1:29">
      <c r="A7" s="460" t="s">
        <v>332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61" t="s">
        <v>5</v>
      </c>
      <c r="F10" s="462"/>
      <c r="G10" s="462"/>
      <c r="H10" s="462"/>
      <c r="I10" s="463"/>
      <c r="J10" s="461" t="s">
        <v>6</v>
      </c>
      <c r="K10" s="464"/>
      <c r="L10" s="464"/>
      <c r="M10" s="465"/>
      <c r="N10" s="466" t="s">
        <v>7</v>
      </c>
      <c r="O10" s="466"/>
      <c r="P10" s="466"/>
      <c r="Q10" s="466"/>
      <c r="R10" s="466"/>
      <c r="S10" s="466"/>
      <c r="T10" s="466"/>
      <c r="U10" s="466"/>
      <c r="V10" s="466"/>
    </row>
    <row r="11" spans="1:29" ht="102.6" customHeight="1">
      <c r="A11" s="231"/>
      <c r="B11" s="231"/>
      <c r="C11" s="231"/>
      <c r="D11" s="232"/>
      <c r="E11" s="229" t="s">
        <v>338</v>
      </c>
      <c r="F11" s="233" t="s">
        <v>339</v>
      </c>
      <c r="G11" s="233" t="s">
        <v>333</v>
      </c>
      <c r="H11" s="234" t="s">
        <v>260</v>
      </c>
      <c r="I11" s="234" t="s">
        <v>334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70" t="s">
        <v>205</v>
      </c>
      <c r="O11" s="470"/>
      <c r="P11" s="470"/>
      <c r="Q11" s="470"/>
      <c r="R11" s="470"/>
      <c r="S11" s="470"/>
      <c r="T11" s="470"/>
      <c r="U11" s="234" t="s">
        <v>260</v>
      </c>
      <c r="V11" s="234" t="s">
        <v>334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-1104594.8099999987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8374631.5333333332</v>
      </c>
      <c r="O13" s="312">
        <f>O14+O20</f>
        <v>1614976.44</v>
      </c>
      <c r="P13" s="312"/>
      <c r="Q13" s="312">
        <f>Q14+Q20</f>
        <v>11246059.789999999</v>
      </c>
      <c r="R13" s="312"/>
      <c r="S13" s="312">
        <f>S21</f>
        <v>2817936</v>
      </c>
      <c r="T13" s="312">
        <f>T14+T20+T21</f>
        <v>24053603.763333332</v>
      </c>
      <c r="U13" s="300">
        <f>U14+U20+U21</f>
        <v>23436000.25</v>
      </c>
      <c r="V13" s="300">
        <f>V14+V20+V21</f>
        <v>23436000.25</v>
      </c>
      <c r="W13" s="236">
        <v>9687443.9800000004</v>
      </c>
      <c r="X13" s="236">
        <f>W13-Q13</f>
        <v>-1558615.8099999987</v>
      </c>
      <c r="Y13" s="224">
        <f>X13/144</f>
        <v>-10823.720902777768</v>
      </c>
      <c r="AA13" s="224">
        <v>8719839.9800000004</v>
      </c>
      <c r="AB13" s="236">
        <f>AA13-Q13</f>
        <v>-2526219.8099999987</v>
      </c>
      <c r="AC13" s="239">
        <f>AB13/I21</f>
        <v>-19138.028863636355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8374631.5333333332</v>
      </c>
      <c r="O14" s="298">
        <f t="shared" ref="O14:T14" si="0">O15+O16+O18+O17+O19</f>
        <v>1614976.44</v>
      </c>
      <c r="P14" s="298">
        <f t="shared" si="0"/>
        <v>0</v>
      </c>
      <c r="Q14" s="310">
        <f>Q15+Q16+Q18+Q17+Q19</f>
        <v>9006073.7899999991</v>
      </c>
      <c r="R14" s="310">
        <f t="shared" si="0"/>
        <v>0</v>
      </c>
      <c r="S14" s="310">
        <f t="shared" si="0"/>
        <v>0</v>
      </c>
      <c r="T14" s="298">
        <f t="shared" si="0"/>
        <v>18995681.763333332</v>
      </c>
      <c r="U14" s="298">
        <f>U15+U16+U18+U17+U19</f>
        <v>18378078.25</v>
      </c>
      <c r="V14" s="298">
        <f>V15+V16+V18+V17+V19</f>
        <v>18378078.25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71" t="s">
        <v>269</v>
      </c>
      <c r="D15" s="294" t="s">
        <v>20</v>
      </c>
      <c r="E15" s="301">
        <v>0</v>
      </c>
      <c r="F15" s="301">
        <v>14</v>
      </c>
      <c r="G15" s="301">
        <f t="shared" ref="G15:G19" si="1">((E15*8)+(F15*4))/12</f>
        <v>4.666666666666667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244935.08666666667</v>
      </c>
      <c r="O15" s="298">
        <f t="shared" ref="O15:O20" si="2">G15*K15</f>
        <v>56665.840000000004</v>
      </c>
      <c r="P15" s="298"/>
      <c r="Q15" s="310">
        <f t="shared" ref="Q15:Q19" si="3">G15*L15</f>
        <v>316002.58666666667</v>
      </c>
      <c r="R15" s="310"/>
      <c r="S15" s="310">
        <v>0</v>
      </c>
      <c r="T15" s="298">
        <f t="shared" ref="T15:T20" si="4">SUM(N15:Q15)</f>
        <v>617603.51333333342</v>
      </c>
      <c r="U15" s="298">
        <v>0</v>
      </c>
      <c r="V15" s="298">
        <v>0</v>
      </c>
      <c r="X15" s="236">
        <f>W14-U13</f>
        <v>-1713341.1900000013</v>
      </c>
    </row>
    <row r="16" spans="1:29" ht="25.95" customHeight="1">
      <c r="A16" s="245"/>
      <c r="B16" s="245" t="s">
        <v>264</v>
      </c>
      <c r="C16" s="472"/>
      <c r="D16" s="294" t="s">
        <v>20</v>
      </c>
      <c r="E16" s="301">
        <v>42</v>
      </c>
      <c r="F16" s="301">
        <v>87</v>
      </c>
      <c r="G16" s="301">
        <f>(E16/12*8)+(F16/12*4)</f>
        <v>57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2368315.8000000003</v>
      </c>
      <c r="O16" s="298">
        <f t="shared" si="2"/>
        <v>692132.76</v>
      </c>
      <c r="P16" s="298"/>
      <c r="Q16" s="310">
        <f>G16*L16+0.07</f>
        <v>3859745.9499999997</v>
      </c>
      <c r="R16" s="310"/>
      <c r="S16" s="310">
        <v>0</v>
      </c>
      <c r="T16" s="298">
        <f t="shared" si="4"/>
        <v>6920194.5099999998</v>
      </c>
      <c r="U16" s="298">
        <f>T16</f>
        <v>6920194.5099999998</v>
      </c>
      <c r="V16" s="298">
        <f t="shared" ref="V16:V20" si="6">U16</f>
        <v>6920194.5099999998</v>
      </c>
      <c r="X16" s="236"/>
    </row>
    <row r="17" spans="1:29" ht="82.95" customHeight="1">
      <c r="A17" s="245"/>
      <c r="B17" s="228" t="s">
        <v>263</v>
      </c>
      <c r="C17" s="473"/>
      <c r="D17" s="294" t="s">
        <v>20</v>
      </c>
      <c r="E17" s="301">
        <v>46</v>
      </c>
      <c r="F17" s="301">
        <v>0</v>
      </c>
      <c r="G17" s="301">
        <f>(E17/12*8)+(F17/12*4)</f>
        <v>30.666666666666668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1" si="7">J17+K17+L17</f>
        <v>161796.88999999998</v>
      </c>
      <c r="N17" s="298">
        <f>G17*J17</f>
        <v>2512807.3466666667</v>
      </c>
      <c r="O17" s="298">
        <f t="shared" si="2"/>
        <v>372375.52</v>
      </c>
      <c r="P17" s="298"/>
      <c r="Q17" s="310">
        <f t="shared" si="3"/>
        <v>2076588.4266666668</v>
      </c>
      <c r="R17" s="310"/>
      <c r="S17" s="310">
        <v>0</v>
      </c>
      <c r="T17" s="298">
        <f t="shared" si="4"/>
        <v>4961771.293333333</v>
      </c>
      <c r="U17" s="298">
        <f>T17</f>
        <v>4961771.293333333</v>
      </c>
      <c r="V17" s="298">
        <f t="shared" si="6"/>
        <v>4961771.293333333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47</v>
      </c>
      <c r="F18" s="301">
        <v>28</v>
      </c>
      <c r="G18" s="301">
        <f>(E18/12*8)+(F18/12*4)</f>
        <v>40.666666666666664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3248573.3</v>
      </c>
      <c r="O18" s="298">
        <f t="shared" si="2"/>
        <v>493802.32</v>
      </c>
      <c r="P18" s="298"/>
      <c r="Q18" s="310">
        <f t="shared" si="3"/>
        <v>2753736.8266666662</v>
      </c>
      <c r="R18" s="310"/>
      <c r="S18" s="310">
        <v>0</v>
      </c>
      <c r="T18" s="298">
        <f t="shared" si="4"/>
        <v>6496112.4466666654</v>
      </c>
      <c r="U18" s="298">
        <f>T18</f>
        <v>6496112.4466666654</v>
      </c>
      <c r="V18" s="298">
        <f t="shared" si="6"/>
        <v>6496112.4466666654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135</v>
      </c>
      <c r="F20" s="301">
        <f>F18+F17+F16+F15+F19</f>
        <v>129</v>
      </c>
      <c r="G20" s="301">
        <f>G18+G17+G16+G15+G19</f>
        <v>132.99999999999997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2239985.9999999995</v>
      </c>
      <c r="R20" s="310"/>
      <c r="S20" s="310">
        <v>0</v>
      </c>
      <c r="T20" s="298">
        <f t="shared" si="4"/>
        <v>2239985.9999999995</v>
      </c>
      <c r="U20" s="298">
        <f>T20</f>
        <v>2239985.9999999995</v>
      </c>
      <c r="V20" s="298">
        <f t="shared" si="6"/>
        <v>2239985.9999999995</v>
      </c>
      <c r="AA20" s="244">
        <f>18835786.28+U34</f>
        <v>21013282.280000001</v>
      </c>
      <c r="AB20" s="244">
        <f>U24-AA20</f>
        <v>-7111533.9200000018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9132414.8100000005</v>
      </c>
      <c r="O24" s="312">
        <f>O25</f>
        <v>1202125.32</v>
      </c>
      <c r="P24" s="317">
        <f>P25</f>
        <v>0</v>
      </c>
      <c r="Q24" s="312">
        <f>Q25+Q33</f>
        <v>6370583.04</v>
      </c>
      <c r="R24" s="312">
        <f>R25</f>
        <v>0</v>
      </c>
      <c r="S24" s="312">
        <f>S34</f>
        <v>2177496</v>
      </c>
      <c r="T24" s="312">
        <f>T25+T33+T34</f>
        <v>18882619.170000002</v>
      </c>
      <c r="U24" s="312">
        <f t="shared" ref="U24:V24" si="9">U25+U33+U34</f>
        <v>13901748.359999999</v>
      </c>
      <c r="V24" s="312">
        <f t="shared" si="9"/>
        <v>13901748.359999999</v>
      </c>
      <c r="W24" s="224">
        <v>6438122.5499999998</v>
      </c>
      <c r="X24" s="236">
        <f>W24-Q24</f>
        <v>67539.509999999776</v>
      </c>
      <c r="Y24" s="224">
        <f>X24/108</f>
        <v>625.36583333333124</v>
      </c>
      <c r="AA24" s="224">
        <v>6003686.5499999998</v>
      </c>
      <c r="AB24" s="236">
        <f>AA24-Q24</f>
        <v>-366896.49000000022</v>
      </c>
      <c r="AC24" s="224">
        <f>AB24/I33</f>
        <v>-3597.024411764708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9132414.8100000005</v>
      </c>
      <c r="O25" s="298">
        <f>SUM(O26:O34)</f>
        <v>1202125.32</v>
      </c>
      <c r="P25" s="301"/>
      <c r="Q25" s="310">
        <f>SUM(Q26:Q30)</f>
        <v>4652699.04</v>
      </c>
      <c r="R25" s="310"/>
      <c r="S25" s="310"/>
      <c r="T25" s="298">
        <f>SUM(T26:T32)</f>
        <v>14987239.17</v>
      </c>
      <c r="U25" s="298">
        <f>SUM(U26:U32)</f>
        <v>10006368.359999999</v>
      </c>
      <c r="V25" s="298">
        <f>SUM(V26:V32)</f>
        <v>10006368.359999999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71" t="s">
        <v>269</v>
      </c>
      <c r="D26" s="294" t="s">
        <v>20</v>
      </c>
      <c r="E26" s="301">
        <v>14</v>
      </c>
      <c r="F26" s="301">
        <v>16</v>
      </c>
      <c r="G26" s="301">
        <f>(E26/12*8)+(F26/12*4)</f>
        <v>14.666666666666668</v>
      </c>
      <c r="H26" s="301">
        <v>19</v>
      </c>
      <c r="I26" s="301">
        <v>19</v>
      </c>
      <c r="J26" s="298">
        <f>45831</f>
        <v>45831</v>
      </c>
      <c r="K26" s="298">
        <f>(12142.68)</f>
        <v>12142.68</v>
      </c>
      <c r="L26" s="310">
        <v>46996.959999999999</v>
      </c>
      <c r="M26" s="298">
        <f t="shared" si="7"/>
        <v>104970.64</v>
      </c>
      <c r="N26" s="298">
        <f>G26*J26</f>
        <v>672188</v>
      </c>
      <c r="O26" s="298">
        <f>G26*K26</f>
        <v>178092.64</v>
      </c>
      <c r="P26" s="301"/>
      <c r="Q26" s="310">
        <f>G26*L26</f>
        <v>689288.7466666667</v>
      </c>
      <c r="R26" s="310"/>
      <c r="S26" s="310"/>
      <c r="T26" s="298">
        <f>SUM(N26:Q26)</f>
        <v>1539569.3866666667</v>
      </c>
      <c r="U26" s="298">
        <f>T26</f>
        <v>1539569.3866666667</v>
      </c>
      <c r="V26" s="298">
        <f>U26</f>
        <v>1539569.3866666667</v>
      </c>
      <c r="X26" s="236">
        <f>W25-U24</f>
        <v>4934037.9200000018</v>
      </c>
    </row>
    <row r="27" spans="1:29" ht="52.5" customHeight="1">
      <c r="A27" s="228"/>
      <c r="B27" s="245" t="s">
        <v>264</v>
      </c>
      <c r="C27" s="473"/>
      <c r="D27" s="294" t="s">
        <v>20</v>
      </c>
      <c r="E27" s="301">
        <v>0</v>
      </c>
      <c r="F27" s="301">
        <v>0</v>
      </c>
      <c r="G27" s="301">
        <f t="shared" ref="G27:G32" si="10">(E27/12*8)+(F27/12*4)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309</v>
      </c>
      <c r="C28" s="471" t="s">
        <v>270</v>
      </c>
      <c r="D28" s="294" t="s">
        <v>20</v>
      </c>
      <c r="E28" s="301">
        <v>28</v>
      </c>
      <c r="F28" s="301">
        <v>15</v>
      </c>
      <c r="G28" s="301">
        <f t="shared" si="10"/>
        <v>23.666666666666668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3581232.6633333336</v>
      </c>
      <c r="O28" s="298">
        <f>G28*K28</f>
        <v>287376.76</v>
      </c>
      <c r="P28" s="301"/>
      <c r="Q28" s="310">
        <f>G28*L28</f>
        <v>1112261.3866666667</v>
      </c>
      <c r="R28" s="310"/>
      <c r="S28" s="310"/>
      <c r="T28" s="298">
        <f>SUM(N28:Q28)</f>
        <v>4980870.8100000005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286</v>
      </c>
      <c r="C29" s="474"/>
      <c r="D29" s="294" t="s">
        <v>20</v>
      </c>
      <c r="E29" s="301">
        <v>0</v>
      </c>
      <c r="F29" s="301">
        <v>24</v>
      </c>
      <c r="G29" s="301">
        <f t="shared" si="10"/>
        <v>8</v>
      </c>
      <c r="H29" s="301">
        <v>30</v>
      </c>
      <c r="I29" s="301">
        <v>30</v>
      </c>
      <c r="J29" s="298">
        <f>151319.69</f>
        <v>151319.69</v>
      </c>
      <c r="K29" s="298">
        <f t="shared" si="11"/>
        <v>12142.68</v>
      </c>
      <c r="L29" s="310">
        <v>46996.959999999999</v>
      </c>
      <c r="M29" s="298">
        <f t="shared" si="7"/>
        <v>210459.33</v>
      </c>
      <c r="N29" s="298">
        <f>G29*J29</f>
        <v>1210557.52</v>
      </c>
      <c r="O29" s="298">
        <f>G29*K29</f>
        <v>97141.440000000002</v>
      </c>
      <c r="P29" s="301"/>
      <c r="Q29" s="310">
        <f>G29*L29</f>
        <v>375975.67999999999</v>
      </c>
      <c r="R29" s="310"/>
      <c r="S29" s="310"/>
      <c r="T29" s="298">
        <f>SUM(N29:Q29)</f>
        <v>1683674.64</v>
      </c>
      <c r="U29" s="298">
        <f>T29</f>
        <v>1683674.64</v>
      </c>
      <c r="V29" s="298">
        <f>U29</f>
        <v>1683674.64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60</v>
      </c>
      <c r="F30" s="301">
        <v>38</v>
      </c>
      <c r="G30" s="301">
        <f t="shared" si="10"/>
        <v>52.666666666666664</v>
      </c>
      <c r="H30" s="301">
        <v>53</v>
      </c>
      <c r="I30" s="301">
        <v>53</v>
      </c>
      <c r="J30" s="302">
        <f>69653.86</f>
        <v>69653.86</v>
      </c>
      <c r="K30" s="298">
        <f t="shared" si="11"/>
        <v>12142.68</v>
      </c>
      <c r="L30" s="310">
        <v>46996.959999999999</v>
      </c>
      <c r="M30" s="298">
        <f t="shared" si="7"/>
        <v>128793.5</v>
      </c>
      <c r="N30" s="298">
        <f>G30*J30</f>
        <v>3668436.6266666665</v>
      </c>
      <c r="O30" s="298">
        <f>G30*K30</f>
        <v>639514.48</v>
      </c>
      <c r="P30" s="301"/>
      <c r="Q30" s="310">
        <f>G30*L30</f>
        <v>2475173.2266666666</v>
      </c>
      <c r="R30" s="310"/>
      <c r="S30" s="310"/>
      <c r="T30" s="298">
        <f>SUM(N30:Q30)</f>
        <v>6783124.333333333</v>
      </c>
      <c r="U30" s="298">
        <f>T30</f>
        <v>6783124.333333333</v>
      </c>
      <c r="V30" s="298">
        <f>U30</f>
        <v>6783124.333333333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303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93</v>
      </c>
      <c r="G33" s="301">
        <f>H26+H29+H30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303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6938615.7733333334</v>
      </c>
      <c r="O35" s="312">
        <f>O36+O44</f>
        <v>1287124.08</v>
      </c>
      <c r="P35" s="312"/>
      <c r="Q35" s="312">
        <f>Q36+Q44</f>
        <v>6766929.7599999998</v>
      </c>
      <c r="R35" s="312"/>
      <c r="S35" s="312">
        <f>S45</f>
        <v>2348280</v>
      </c>
      <c r="T35" s="312">
        <f>T36+T44+T45</f>
        <v>17340949.613333333</v>
      </c>
      <c r="U35" s="300">
        <f>U36+U44+U45</f>
        <v>17340949.613333333</v>
      </c>
      <c r="V35" s="300">
        <f>V36+V44+V45</f>
        <v>17340949.613333333</v>
      </c>
      <c r="W35" s="236">
        <v>6077312.0300000003</v>
      </c>
      <c r="X35" s="236">
        <f>W35-Q35</f>
        <v>-689617.72999999952</v>
      </c>
      <c r="Y35" s="224">
        <f>X35/G44</f>
        <v>-6505.8276415094297</v>
      </c>
      <c r="AA35" s="224">
        <v>5754388.0300000003</v>
      </c>
      <c r="AB35" s="236">
        <f>AA35-Q35</f>
        <v>-1012541.7299999995</v>
      </c>
      <c r="AC35" s="224">
        <f>AB35/I44</f>
        <v>-9204.924818181813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6938615.7733333334</v>
      </c>
      <c r="O36" s="298">
        <f>SUM(O37:O45)</f>
        <v>1287124.08</v>
      </c>
      <c r="P36" s="298"/>
      <c r="Q36" s="310">
        <f>SUM(Q37:Q39)</f>
        <v>4981677.76</v>
      </c>
      <c r="R36" s="310"/>
      <c r="S36" s="310"/>
      <c r="T36" s="298">
        <f>SUM(T37:T43)</f>
        <v>13207417.613333333</v>
      </c>
      <c r="U36" s="298">
        <f>SUM(U37:U43)</f>
        <v>13207417.613333333</v>
      </c>
      <c r="V36" s="298">
        <f>SUM(V37:V43)</f>
        <v>13207417.613333333</v>
      </c>
      <c r="W36" s="236">
        <v>15224915.029999999</v>
      </c>
      <c r="AA36" s="236">
        <f>15224915.03+U45</f>
        <v>17573195.030000001</v>
      </c>
      <c r="AB36" s="236">
        <f>U35-AA36</f>
        <v>-232245.41666666791</v>
      </c>
    </row>
    <row r="37" spans="1:29" ht="57.6" customHeight="1">
      <c r="A37" s="228"/>
      <c r="B37" s="245" t="s">
        <v>266</v>
      </c>
      <c r="C37" s="471" t="s">
        <v>269</v>
      </c>
      <c r="D37" s="294" t="s">
        <v>20</v>
      </c>
      <c r="E37" s="301">
        <v>15</v>
      </c>
      <c r="F37" s="301">
        <v>26</v>
      </c>
      <c r="G37" s="301">
        <f t="shared" ref="G37:G39" si="14">(E37/12*8)+(F37/12*4)</f>
        <v>18.666666666666664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855511.99999999988</v>
      </c>
      <c r="O37" s="298">
        <f>(G37*K37)</f>
        <v>226663.36</v>
      </c>
      <c r="P37" s="301"/>
      <c r="Q37" s="310">
        <f>G37*L37</f>
        <v>877276.58666666655</v>
      </c>
      <c r="R37" s="310"/>
      <c r="S37" s="310"/>
      <c r="T37" s="298">
        <f>SUM(N37:Q37)</f>
        <v>1959451.9466666663</v>
      </c>
      <c r="U37" s="298">
        <f t="shared" ref="U37:V39" si="15">T37</f>
        <v>1959451.9466666663</v>
      </c>
      <c r="V37" s="298">
        <f t="shared" si="15"/>
        <v>1959451.9466666663</v>
      </c>
      <c r="X37" s="236">
        <f>W36-U35</f>
        <v>-2116034.583333334</v>
      </c>
    </row>
    <row r="38" spans="1:29" ht="40.950000000000003" customHeight="1">
      <c r="A38" s="245"/>
      <c r="B38" s="245" t="s">
        <v>264</v>
      </c>
      <c r="C38" s="473"/>
      <c r="D38" s="294" t="s">
        <v>20</v>
      </c>
      <c r="E38" s="301">
        <v>0</v>
      </c>
      <c r="F38" s="301">
        <v>0</v>
      </c>
      <c r="G38" s="301">
        <f t="shared" si="14"/>
        <v>0</v>
      </c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5"/>
        <v>0</v>
      </c>
      <c r="V38" s="298">
        <f t="shared" si="15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94</v>
      </c>
      <c r="F39" s="301">
        <v>74</v>
      </c>
      <c r="G39" s="301">
        <f t="shared" si="14"/>
        <v>87.333333333333329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6083103.7733333334</v>
      </c>
      <c r="O39" s="298">
        <f>G39*K39</f>
        <v>1060460.72</v>
      </c>
      <c r="P39" s="301"/>
      <c r="Q39" s="310">
        <f>G39*L39</f>
        <v>4104401.1733333329</v>
      </c>
      <c r="R39" s="310"/>
      <c r="S39" s="310"/>
      <c r="T39" s="298">
        <f>SUM(N39:Q39)</f>
        <v>11247965.666666666</v>
      </c>
      <c r="U39" s="298">
        <f t="shared" si="15"/>
        <v>11247965.666666666</v>
      </c>
      <c r="V39" s="298">
        <f t="shared" si="15"/>
        <v>11247965.666666666</v>
      </c>
    </row>
    <row r="40" spans="1:29" s="225" customFormat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6">T40</f>
        <v>0</v>
      </c>
      <c r="V40" s="298">
        <f>U40</f>
        <v>0</v>
      </c>
    </row>
    <row r="41" spans="1:29" s="225" customFormat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6"/>
        <v>0</v>
      </c>
      <c r="V41" s="298">
        <f t="shared" si="16"/>
        <v>0</v>
      </c>
    </row>
    <row r="42" spans="1:29" ht="45.75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6"/>
        <v>0</v>
      </c>
      <c r="V42" s="298">
        <f t="shared" si="16"/>
        <v>0</v>
      </c>
    </row>
    <row r="43" spans="1:29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6"/>
        <v>0</v>
      </c>
      <c r="V43" s="298">
        <f t="shared" si="16"/>
        <v>0</v>
      </c>
    </row>
    <row r="44" spans="1:29" ht="58.2" customHeight="1">
      <c r="A44" s="228" t="s">
        <v>247</v>
      </c>
      <c r="B44" s="245" t="s">
        <v>303</v>
      </c>
      <c r="C44" s="245" t="s">
        <v>219</v>
      </c>
      <c r="D44" s="294" t="s">
        <v>20</v>
      </c>
      <c r="E44" s="301">
        <f>E39+E38+E37</f>
        <v>109</v>
      </c>
      <c r="F44" s="301">
        <f>F39+F38+F37</f>
        <v>100</v>
      </c>
      <c r="G44" s="301">
        <f>G39+G38+G37</f>
        <v>106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1785252</v>
      </c>
      <c r="R44" s="310"/>
      <c r="S44" s="310"/>
      <c r="T44" s="298">
        <f>SUM(N44:Q44)</f>
        <v>1785252</v>
      </c>
      <c r="U44" s="298">
        <f>T44</f>
        <v>1785252</v>
      </c>
      <c r="V44" s="298">
        <f t="shared" si="16"/>
        <v>1785252</v>
      </c>
    </row>
    <row r="45" spans="1:29">
      <c r="A45" s="245"/>
      <c r="B45" s="245" t="s">
        <v>303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13320042.716666665</v>
      </c>
      <c r="O46" s="312">
        <f>O47+O55</f>
        <v>2165444.5999999996</v>
      </c>
      <c r="P46" s="312"/>
      <c r="Q46" s="312">
        <f>Q47+Q55</f>
        <v>11384614.533333333</v>
      </c>
      <c r="R46" s="312"/>
      <c r="S46" s="312">
        <f>S56</f>
        <v>4077468</v>
      </c>
      <c r="T46" s="312">
        <f>T47+T55+T56</f>
        <v>30947569.849999998</v>
      </c>
      <c r="U46" s="300">
        <f>U47+U55+U56</f>
        <v>30947569.849999998</v>
      </c>
      <c r="V46" s="300">
        <f>V47+V55+V56</f>
        <v>30947569.849999998</v>
      </c>
      <c r="W46" s="248">
        <v>10231531.529999999</v>
      </c>
      <c r="X46" s="236">
        <f>W46-Q46</f>
        <v>-1153083.0033333339</v>
      </c>
      <c r="Y46" s="224">
        <f>X46/G55</f>
        <v>-6465.8860000000041</v>
      </c>
      <c r="AA46" s="224">
        <v>10354392.529999999</v>
      </c>
      <c r="AB46" s="236">
        <f>AA46-Q46</f>
        <v>-1030222.0033333339</v>
      </c>
      <c r="AC46" s="224">
        <f>AB46/I55</f>
        <v>-5393.8324781849942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13320042.716666665</v>
      </c>
      <c r="O47" s="298">
        <f>SUM(O48:O56)</f>
        <v>2165444.5999999996</v>
      </c>
      <c r="P47" s="301"/>
      <c r="Q47" s="310">
        <f>SUM(Q48:Q51)</f>
        <v>8381124.5333333332</v>
      </c>
      <c r="R47" s="310"/>
      <c r="S47" s="310"/>
      <c r="T47" s="298">
        <f>SUM(T48:T54)</f>
        <v>23866611.849999998</v>
      </c>
      <c r="U47" s="298">
        <f>SUM(U48:U54)</f>
        <v>23866611.849999998</v>
      </c>
      <c r="V47" s="298">
        <f>SUM(V48:V54)</f>
        <v>23866611.849999998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-2273317.6800000034</v>
      </c>
    </row>
    <row r="48" spans="1:29" ht="51.75" customHeight="1">
      <c r="A48" s="228"/>
      <c r="B48" s="245" t="s">
        <v>266</v>
      </c>
      <c r="C48" s="471" t="s">
        <v>273</v>
      </c>
      <c r="D48" s="294" t="s">
        <v>20</v>
      </c>
      <c r="E48" s="301">
        <v>20</v>
      </c>
      <c r="F48" s="301">
        <v>28</v>
      </c>
      <c r="G48" s="301">
        <f t="shared" ref="G48:G51" si="17">(E48/12*8)+(F48/12*4)</f>
        <v>22.666666666666668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1038836</v>
      </c>
      <c r="O48" s="298">
        <f>G48*K48</f>
        <v>275234.08</v>
      </c>
      <c r="P48" s="301"/>
      <c r="Q48" s="310">
        <f>G48*L48</f>
        <v>1065264.4266666668</v>
      </c>
      <c r="R48" s="310"/>
      <c r="S48" s="310"/>
      <c r="T48" s="298">
        <f>SUM(N48:Q48)</f>
        <v>2379334.5066666668</v>
      </c>
      <c r="U48" s="298">
        <f t="shared" ref="U48:V52" si="18">T48</f>
        <v>2379334.5066666668</v>
      </c>
      <c r="V48" s="298">
        <f t="shared" si="18"/>
        <v>2379334.5066666668</v>
      </c>
      <c r="X48" s="236">
        <f>W47-U46</f>
        <v>-1804150.3199999966</v>
      </c>
    </row>
    <row r="49" spans="1:28" ht="51" customHeight="1">
      <c r="A49" s="245"/>
      <c r="B49" s="245" t="s">
        <v>264</v>
      </c>
      <c r="C49" s="473"/>
      <c r="D49" s="294" t="s">
        <v>20</v>
      </c>
      <c r="E49" s="301">
        <v>59</v>
      </c>
      <c r="F49" s="301">
        <v>0</v>
      </c>
      <c r="G49" s="301">
        <f t="shared" si="17"/>
        <v>39.333333333333336</v>
      </c>
      <c r="H49" s="301">
        <v>60</v>
      </c>
      <c r="I49" s="301">
        <v>60</v>
      </c>
      <c r="J49" s="298">
        <v>36323.51</v>
      </c>
      <c r="K49" s="298">
        <f t="shared" ref="K49:K51" si="19">(12142.68)</f>
        <v>12142.68</v>
      </c>
      <c r="L49" s="310">
        <v>46996.959999999999</v>
      </c>
      <c r="M49" s="298">
        <f t="shared" si="7"/>
        <v>95463.15</v>
      </c>
      <c r="N49" s="298">
        <f>G49*J49</f>
        <v>1428724.7266666668</v>
      </c>
      <c r="O49" s="298">
        <f>G49*K49</f>
        <v>477612.08</v>
      </c>
      <c r="P49" s="301"/>
      <c r="Q49" s="310">
        <f>G49*L49</f>
        <v>1848547.0933333335</v>
      </c>
      <c r="R49" s="310"/>
      <c r="S49" s="310"/>
      <c r="T49" s="298">
        <f>SUM(N49:Q49)</f>
        <v>3754883.9000000004</v>
      </c>
      <c r="U49" s="298">
        <f t="shared" si="18"/>
        <v>3754883.9000000004</v>
      </c>
      <c r="V49" s="298">
        <f t="shared" si="18"/>
        <v>3754883.9000000004</v>
      </c>
    </row>
    <row r="50" spans="1:28" ht="96.6">
      <c r="A50" s="228"/>
      <c r="B50" s="245" t="s">
        <v>286</v>
      </c>
      <c r="C50" s="228" t="s">
        <v>274</v>
      </c>
      <c r="D50" s="294" t="s">
        <v>20</v>
      </c>
      <c r="E50" s="301">
        <v>33</v>
      </c>
      <c r="F50" s="301">
        <v>35</v>
      </c>
      <c r="G50" s="301">
        <f t="shared" si="17"/>
        <v>33.666666666666664</v>
      </c>
      <c r="H50" s="301">
        <v>37</v>
      </c>
      <c r="I50" s="301">
        <v>37</v>
      </c>
      <c r="J50" s="298">
        <v>151319.69</v>
      </c>
      <c r="K50" s="298">
        <f t="shared" si="19"/>
        <v>12142.68</v>
      </c>
      <c r="L50" s="310">
        <v>46996.959999999999</v>
      </c>
      <c r="M50" s="298">
        <f t="shared" si="7"/>
        <v>210459.33</v>
      </c>
      <c r="N50" s="298">
        <f>G50*J50</f>
        <v>5094429.5633333335</v>
      </c>
      <c r="O50" s="298">
        <f>G50*K50</f>
        <v>408803.56</v>
      </c>
      <c r="P50" s="301"/>
      <c r="Q50" s="310">
        <f>G50*L50</f>
        <v>1582230.9866666666</v>
      </c>
      <c r="R50" s="310"/>
      <c r="S50" s="310"/>
      <c r="T50" s="298">
        <f>SUM(N50:Q50)</f>
        <v>7085464.1099999994</v>
      </c>
      <c r="U50" s="298">
        <f t="shared" si="18"/>
        <v>7085464.1099999994</v>
      </c>
      <c r="V50" s="298">
        <f t="shared" si="18"/>
        <v>7085464.1099999994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75</v>
      </c>
      <c r="F51" s="301">
        <v>98</v>
      </c>
      <c r="G51" s="301">
        <f t="shared" si="17"/>
        <v>82.666666666666657</v>
      </c>
      <c r="H51" s="301">
        <v>54</v>
      </c>
      <c r="I51" s="301">
        <v>54</v>
      </c>
      <c r="J51" s="302">
        <v>69653.86</v>
      </c>
      <c r="K51" s="298">
        <f t="shared" si="19"/>
        <v>12142.68</v>
      </c>
      <c r="L51" s="310">
        <v>46996.959999999999</v>
      </c>
      <c r="M51" s="298">
        <f t="shared" si="7"/>
        <v>128793.5</v>
      </c>
      <c r="N51" s="298">
        <f>G51*J51</f>
        <v>5758052.4266666658</v>
      </c>
      <c r="O51" s="298">
        <f>G51*K51</f>
        <v>1003794.8799999999</v>
      </c>
      <c r="P51" s="301"/>
      <c r="Q51" s="310">
        <f>G51*L51</f>
        <v>3885082.0266666664</v>
      </c>
      <c r="R51" s="310"/>
      <c r="S51" s="310"/>
      <c r="T51" s="298">
        <f>SUM(N51:Q51)</f>
        <v>10646929.333333332</v>
      </c>
      <c r="U51" s="298">
        <f t="shared" si="18"/>
        <v>10646929.333333332</v>
      </c>
      <c r="V51" s="298">
        <f t="shared" si="18"/>
        <v>10646929.333333332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8"/>
        <v>0</v>
      </c>
      <c r="V52" s="298">
        <f t="shared" si="18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20">T53</f>
        <v>0</v>
      </c>
      <c r="V53" s="298">
        <f t="shared" si="20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20"/>
        <v>0</v>
      </c>
      <c r="V54" s="298">
        <f t="shared" si="20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187</v>
      </c>
      <c r="F55" s="301">
        <f>F51+F50+F49+F48</f>
        <v>161</v>
      </c>
      <c r="G55" s="301">
        <f>G51+G50+G49+G48</f>
        <v>178.33333333333331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3003489.9999999995</v>
      </c>
      <c r="R55" s="310"/>
      <c r="S55" s="310"/>
      <c r="T55" s="298">
        <f>SUM(N55:Q55)</f>
        <v>3003489.9999999995</v>
      </c>
      <c r="U55" s="298">
        <f t="shared" si="20"/>
        <v>3003489.9999999995</v>
      </c>
      <c r="V55" s="298">
        <f t="shared" si="20"/>
        <v>3003489.9999999995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6316801.246666668</v>
      </c>
      <c r="O57" s="312">
        <f>O58+O64</f>
        <v>1262838.7200000002</v>
      </c>
      <c r="P57" s="317">
        <f>P58</f>
        <v>0</v>
      </c>
      <c r="Q57" s="312">
        <f>Q58+Q64</f>
        <v>6639251.8399999999</v>
      </c>
      <c r="R57" s="312">
        <f>R58</f>
        <v>0</v>
      </c>
      <c r="S57" s="312">
        <f>S65</f>
        <v>2241540</v>
      </c>
      <c r="T57" s="312">
        <f>T58+T64+T65</f>
        <v>16460431.806666669</v>
      </c>
      <c r="U57" s="312">
        <f t="shared" ref="U57:V57" si="21">U58+U64+U65</f>
        <v>16460431.806666669</v>
      </c>
      <c r="V57" s="312">
        <f t="shared" si="21"/>
        <v>16460431.806666669</v>
      </c>
      <c r="W57" s="224">
        <v>5581141.5300000003</v>
      </c>
      <c r="X57" s="236">
        <f>W57-Q57</f>
        <v>-1058110.3099999996</v>
      </c>
      <c r="Y57" s="224">
        <f>X57/G64</f>
        <v>-10174.137596153842</v>
      </c>
      <c r="AA57" s="224">
        <v>5552393.5300000003</v>
      </c>
      <c r="AB57" s="236">
        <f>AA57-Q57</f>
        <v>-1086858.3099999996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6316801.246666668</v>
      </c>
      <c r="O58" s="298">
        <f>SUM(O59:O65)</f>
        <v>1262838.7200000002</v>
      </c>
      <c r="P58" s="305"/>
      <c r="Q58" s="310">
        <f>SUM(Q59:Q61)</f>
        <v>4887683.84</v>
      </c>
      <c r="R58" s="310"/>
      <c r="S58" s="310"/>
      <c r="T58" s="298">
        <f>SUM(T59:T63)</f>
        <v>12467323.806666669</v>
      </c>
      <c r="U58" s="298">
        <f>SUM(U59:U63)</f>
        <v>12467323.806666669</v>
      </c>
      <c r="V58" s="298">
        <f>SUM(V59:V63)</f>
        <v>12467323.806666669</v>
      </c>
      <c r="W58" s="236">
        <v>14544322.529999999</v>
      </c>
      <c r="AA58" s="236">
        <f>14544322.53+U65</f>
        <v>16785862.530000001</v>
      </c>
      <c r="AB58" s="236">
        <f>U57-AA58</f>
        <v>-325430.72333333269</v>
      </c>
    </row>
    <row r="59" spans="1:28" ht="51" customHeight="1">
      <c r="A59" s="228"/>
      <c r="B59" s="245" t="s">
        <v>276</v>
      </c>
      <c r="C59" s="471" t="s">
        <v>273</v>
      </c>
      <c r="D59" s="294" t="s">
        <v>20</v>
      </c>
      <c r="E59" s="301">
        <v>18</v>
      </c>
      <c r="F59" s="301">
        <v>22</v>
      </c>
      <c r="G59" s="301">
        <f t="shared" ref="G59:G61" si="22">(E59/12*8)+(F59/12*4)</f>
        <v>19.333333333333332</v>
      </c>
      <c r="H59" s="301">
        <v>21</v>
      </c>
      <c r="I59" s="301">
        <v>21</v>
      </c>
      <c r="J59" s="298">
        <f>45831</f>
        <v>45831</v>
      </c>
      <c r="K59" s="298">
        <f>(12142.68)</f>
        <v>12142.68</v>
      </c>
      <c r="L59" s="310">
        <v>46996.959999999999</v>
      </c>
      <c r="M59" s="298">
        <f t="shared" si="7"/>
        <v>104970.64</v>
      </c>
      <c r="N59" s="298">
        <f>G59*J59</f>
        <v>886066</v>
      </c>
      <c r="O59" s="298">
        <f>G59*K59</f>
        <v>234758.47999999998</v>
      </c>
      <c r="P59" s="301"/>
      <c r="Q59" s="310">
        <f>G59*L59</f>
        <v>908607.89333333331</v>
      </c>
      <c r="R59" s="310"/>
      <c r="S59" s="310"/>
      <c r="T59" s="298">
        <f>SUM(N59:Q59)</f>
        <v>2029432.3733333333</v>
      </c>
      <c r="U59" s="298">
        <f t="shared" ref="U59:V61" si="23">T59</f>
        <v>2029432.3733333333</v>
      </c>
      <c r="V59" s="298">
        <f t="shared" si="23"/>
        <v>2029432.3733333333</v>
      </c>
      <c r="X59" s="236">
        <f>W58-U57</f>
        <v>-1916109.2766666692</v>
      </c>
    </row>
    <row r="60" spans="1:28" ht="50.4" customHeight="1">
      <c r="A60" s="245"/>
      <c r="B60" s="245" t="s">
        <v>262</v>
      </c>
      <c r="C60" s="473"/>
      <c r="D60" s="294" t="s">
        <v>20</v>
      </c>
      <c r="E60" s="301">
        <v>21</v>
      </c>
      <c r="F60" s="301">
        <v>0</v>
      </c>
      <c r="G60" s="301">
        <f t="shared" si="22"/>
        <v>14</v>
      </c>
      <c r="H60" s="301">
        <v>18</v>
      </c>
      <c r="I60" s="301">
        <v>18</v>
      </c>
      <c r="J60" s="298">
        <f>36323.51</f>
        <v>36323.51</v>
      </c>
      <c r="K60" s="298">
        <f t="shared" ref="K60:K61" si="24">(12142.68)</f>
        <v>12142.68</v>
      </c>
      <c r="L60" s="310">
        <v>46996.959999999999</v>
      </c>
      <c r="M60" s="298">
        <f t="shared" si="7"/>
        <v>95463.15</v>
      </c>
      <c r="N60" s="298">
        <f>G60*J60</f>
        <v>508529.14</v>
      </c>
      <c r="O60" s="298">
        <f>G60*K60</f>
        <v>169997.52000000002</v>
      </c>
      <c r="P60" s="301"/>
      <c r="Q60" s="310">
        <f>G60*L60</f>
        <v>657957.43999999994</v>
      </c>
      <c r="R60" s="310"/>
      <c r="S60" s="310"/>
      <c r="T60" s="298">
        <f>SUM(N60:Q60)</f>
        <v>1336484.1000000001</v>
      </c>
      <c r="U60" s="298">
        <f t="shared" si="23"/>
        <v>1336484.1000000001</v>
      </c>
      <c r="V60" s="298">
        <f t="shared" si="23"/>
        <v>1336484.1000000001</v>
      </c>
    </row>
    <row r="61" spans="1:28" ht="118.5" customHeight="1">
      <c r="A61" s="245"/>
      <c r="B61" s="245" t="s">
        <v>264</v>
      </c>
      <c r="C61" s="228" t="s">
        <v>275</v>
      </c>
      <c r="D61" s="294" t="s">
        <v>20</v>
      </c>
      <c r="E61" s="301">
        <v>66</v>
      </c>
      <c r="F61" s="301">
        <v>80</v>
      </c>
      <c r="G61" s="301">
        <f t="shared" si="22"/>
        <v>70.666666666666671</v>
      </c>
      <c r="H61" s="301">
        <v>66</v>
      </c>
      <c r="I61" s="301">
        <v>66</v>
      </c>
      <c r="J61" s="302">
        <f>69653.86</f>
        <v>69653.86</v>
      </c>
      <c r="K61" s="298">
        <f t="shared" si="24"/>
        <v>12142.68</v>
      </c>
      <c r="L61" s="310">
        <v>46996.959999999999</v>
      </c>
      <c r="M61" s="298">
        <f t="shared" si="7"/>
        <v>128793.5</v>
      </c>
      <c r="N61" s="298">
        <f>G61*J61</f>
        <v>4922206.1066666674</v>
      </c>
      <c r="O61" s="298">
        <f>G61*K61</f>
        <v>858082.72000000009</v>
      </c>
      <c r="P61" s="301"/>
      <c r="Q61" s="310">
        <f>G61*L61</f>
        <v>3321118.5066666668</v>
      </c>
      <c r="R61" s="310"/>
      <c r="S61" s="310"/>
      <c r="T61" s="298">
        <f>SUM(N61:Q61)</f>
        <v>9101407.333333334</v>
      </c>
      <c r="U61" s="298">
        <f t="shared" si="23"/>
        <v>9101407.333333334</v>
      </c>
      <c r="V61" s="298">
        <f t="shared" si="23"/>
        <v>9101407.333333334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5">T62</f>
        <v>0</v>
      </c>
      <c r="V62" s="298">
        <f t="shared" si="25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5"/>
        <v>0</v>
      </c>
      <c r="V63" s="298">
        <f t="shared" si="25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102</v>
      </c>
      <c r="G64" s="301">
        <f>G59+G60+G61</f>
        <v>104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1751568</v>
      </c>
      <c r="R64" s="310"/>
      <c r="S64" s="310"/>
      <c r="T64" s="298">
        <f>SUM(N64:Q64)</f>
        <v>1751568</v>
      </c>
      <c r="U64" s="298">
        <f>T64</f>
        <v>1751568</v>
      </c>
      <c r="V64" s="298">
        <f t="shared" si="25"/>
        <v>1751568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N67+N76</f>
        <v>9564197.1799999997</v>
      </c>
      <c r="O66" s="312">
        <f>O67+O76</f>
        <v>1797116.64</v>
      </c>
      <c r="P66" s="312"/>
      <c r="Q66" s="312">
        <f>Q67+Q76</f>
        <v>9189922.0799999982</v>
      </c>
      <c r="R66" s="312"/>
      <c r="S66" s="312">
        <f>S77</f>
        <v>3287592</v>
      </c>
      <c r="T66" s="312">
        <f>T67+T76+T77</f>
        <v>23838827.899999995</v>
      </c>
      <c r="U66" s="300">
        <f>U67+U76+U77</f>
        <v>23838827.899999995</v>
      </c>
      <c r="V66" s="300">
        <f>V67+V76+V77</f>
        <v>23838827.899999995</v>
      </c>
      <c r="W66" s="224">
        <v>10602392.789999999</v>
      </c>
      <c r="X66" s="236">
        <f>W66-Q66</f>
        <v>1412470.7100000009</v>
      </c>
      <c r="Y66" s="239">
        <f>X66/G76</f>
        <v>10646.76414572865</v>
      </c>
      <c r="AA66" s="224">
        <v>11530755.789999999</v>
      </c>
      <c r="AB66" s="236">
        <f>AA66-Q66</f>
        <v>2340833.7100000009</v>
      </c>
      <c r="AC66" s="224">
        <f>AB66/I76</f>
        <v>15200.218896103903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SUM(N68:N77)</f>
        <v>9564197.1799999997</v>
      </c>
      <c r="O67" s="298">
        <f>SUM(O68:O77)</f>
        <v>1797116.64</v>
      </c>
      <c r="P67" s="301"/>
      <c r="Q67" s="310">
        <f>SUM(Q68:Q73)</f>
        <v>6955550.0799999991</v>
      </c>
      <c r="R67" s="310"/>
      <c r="S67" s="310"/>
      <c r="T67" s="298">
        <f>SUM(T68:T75)</f>
        <v>18316863.899999995</v>
      </c>
      <c r="U67" s="298">
        <f>SUM(U68:U75)</f>
        <v>18316863.899999995</v>
      </c>
      <c r="V67" s="298">
        <f>SUM(V68:V75)</f>
        <v>18316863.899999995</v>
      </c>
      <c r="W67" s="236">
        <v>23072309.280000001</v>
      </c>
      <c r="AA67" s="236">
        <f>23072309.28+U77</f>
        <v>26359901.280000001</v>
      </c>
      <c r="AB67" s="236">
        <f>U66-AA67</f>
        <v>-2521073.3800000064</v>
      </c>
    </row>
    <row r="68" spans="1:29" ht="46.95" customHeight="1">
      <c r="A68" s="228"/>
      <c r="B68" s="245" t="s">
        <v>266</v>
      </c>
      <c r="C68" s="471" t="s">
        <v>273</v>
      </c>
      <c r="D68" s="294" t="s">
        <v>20</v>
      </c>
      <c r="E68" s="301">
        <v>33</v>
      </c>
      <c r="F68" s="301">
        <v>36</v>
      </c>
      <c r="G68" s="301">
        <f t="shared" ref="G68:G75" si="26">(E68/12*8)+(F68/12*4)</f>
        <v>34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1558254</v>
      </c>
      <c r="O68" s="298">
        <f>G68*K68</f>
        <v>412851.12</v>
      </c>
      <c r="P68" s="301"/>
      <c r="Q68" s="310">
        <f>G68*L68</f>
        <v>1597896.64</v>
      </c>
      <c r="R68" s="310"/>
      <c r="S68" s="310"/>
      <c r="T68" s="298">
        <f>SUM(N68:Q68)</f>
        <v>3569001.76</v>
      </c>
      <c r="U68" s="298">
        <f t="shared" ref="U68:V70" si="27">T68</f>
        <v>3569001.76</v>
      </c>
      <c r="V68" s="298">
        <f t="shared" si="27"/>
        <v>3569001.76</v>
      </c>
      <c r="X68" s="236">
        <f>W67-U66</f>
        <v>-766518.61999999359</v>
      </c>
    </row>
    <row r="69" spans="1:29" ht="53.25" customHeight="1">
      <c r="A69" s="245"/>
      <c r="B69" s="245" t="s">
        <v>264</v>
      </c>
      <c r="C69" s="473"/>
      <c r="D69" s="294" t="s">
        <v>20</v>
      </c>
      <c r="E69" s="301">
        <v>0</v>
      </c>
      <c r="F69" s="301">
        <v>0</v>
      </c>
      <c r="G69" s="301">
        <f t="shared" si="26"/>
        <v>0</v>
      </c>
      <c r="H69" s="301">
        <v>34</v>
      </c>
      <c r="I69" s="301">
        <v>34</v>
      </c>
      <c r="J69" s="298">
        <v>36323.51</v>
      </c>
      <c r="K69" s="298">
        <f t="shared" ref="K69:K70" si="28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7"/>
        <v>0</v>
      </c>
      <c r="V69" s="298">
        <f t="shared" si="27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122</v>
      </c>
      <c r="F70" s="301">
        <v>52</v>
      </c>
      <c r="G70" s="301">
        <f t="shared" si="26"/>
        <v>98.666666666666657</v>
      </c>
      <c r="H70" s="301">
        <v>80</v>
      </c>
      <c r="I70" s="301">
        <v>80</v>
      </c>
      <c r="J70" s="302">
        <v>69653.86</v>
      </c>
      <c r="K70" s="298">
        <f t="shared" si="28"/>
        <v>12142.68</v>
      </c>
      <c r="L70" s="310">
        <v>46996.959999999999</v>
      </c>
      <c r="M70" s="298">
        <f t="shared" si="7"/>
        <v>128793.5</v>
      </c>
      <c r="N70" s="298">
        <f>G70*J70</f>
        <v>6872514.1866666656</v>
      </c>
      <c r="O70" s="298">
        <f>G70*K70</f>
        <v>1198077.76</v>
      </c>
      <c r="P70" s="301"/>
      <c r="Q70" s="310">
        <f>G70*L70</f>
        <v>4637033.3866666658</v>
      </c>
      <c r="R70" s="310"/>
      <c r="S70" s="310"/>
      <c r="T70" s="298">
        <f>SUM(N70:Q70)</f>
        <v>12707625.333333332</v>
      </c>
      <c r="U70" s="298">
        <f t="shared" si="27"/>
        <v>12707625.333333332</v>
      </c>
      <c r="V70" s="298">
        <f t="shared" si="27"/>
        <v>12707625.333333332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si="26"/>
        <v>0</v>
      </c>
      <c r="H71" s="301"/>
      <c r="I71" s="301"/>
      <c r="J71" s="298"/>
      <c r="K71" s="298">
        <f t="shared" ref="K71:K72" si="29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6" si="30">T71</f>
        <v>0</v>
      </c>
      <c r="V71" s="298">
        <f t="shared" si="30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6"/>
        <v>0</v>
      </c>
      <c r="H72" s="301"/>
      <c r="I72" s="301"/>
      <c r="J72" s="298"/>
      <c r="K72" s="298">
        <f t="shared" si="29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30"/>
        <v>0</v>
      </c>
      <c r="V72" s="298">
        <f t="shared" si="30"/>
        <v>0</v>
      </c>
    </row>
    <row r="73" spans="1:29" ht="138.75" customHeight="1">
      <c r="A73" s="245"/>
      <c r="B73" s="245" t="s">
        <v>264</v>
      </c>
      <c r="C73" s="228" t="s">
        <v>395</v>
      </c>
      <c r="D73" s="404" t="s">
        <v>20</v>
      </c>
      <c r="E73" s="301">
        <v>0</v>
      </c>
      <c r="F73" s="301">
        <v>46</v>
      </c>
      <c r="G73" s="301">
        <f t="shared" ref="G73" si="31">(E73/12*8)+(F73/12*4)</f>
        <v>15.333333333333334</v>
      </c>
      <c r="H73" s="301">
        <v>80</v>
      </c>
      <c r="I73" s="301">
        <v>80</v>
      </c>
      <c r="J73" s="302">
        <v>57018.5</v>
      </c>
      <c r="K73" s="298">
        <f t="shared" ref="K73" si="32">(12142.68)</f>
        <v>12142.68</v>
      </c>
      <c r="L73" s="310">
        <v>46996.959999999999</v>
      </c>
      <c r="M73" s="298">
        <f t="shared" ref="M73" si="33">J73+K73+L73</f>
        <v>116158.13999999998</v>
      </c>
      <c r="N73" s="298">
        <f>G73*J73</f>
        <v>874283.66666666674</v>
      </c>
      <c r="O73" s="298">
        <f>G73*K73</f>
        <v>186187.76</v>
      </c>
      <c r="P73" s="301"/>
      <c r="Q73" s="310">
        <f>G73*L73</f>
        <v>720620.05333333334</v>
      </c>
      <c r="R73" s="310"/>
      <c r="S73" s="310"/>
      <c r="T73" s="298">
        <f>SUM(N73:Q73)</f>
        <v>1781091.48</v>
      </c>
      <c r="U73" s="298">
        <f t="shared" si="30"/>
        <v>1781091.48</v>
      </c>
      <c r="V73" s="298">
        <f t="shared" si="30"/>
        <v>1781091.48</v>
      </c>
      <c r="W73" s="236">
        <f>T73-U73</f>
        <v>0</v>
      </c>
    </row>
    <row r="74" spans="1:29" ht="77.25" customHeight="1">
      <c r="A74" s="245"/>
      <c r="B74" s="245" t="s">
        <v>181</v>
      </c>
      <c r="C74" s="405" t="s">
        <v>396</v>
      </c>
      <c r="D74" s="294" t="s">
        <v>20</v>
      </c>
      <c r="E74" s="301">
        <v>0</v>
      </c>
      <c r="F74" s="301">
        <v>46</v>
      </c>
      <c r="G74" s="301">
        <f t="shared" si="26"/>
        <v>15.333333333333334</v>
      </c>
      <c r="H74" s="301"/>
      <c r="I74" s="301"/>
      <c r="J74" s="298">
        <v>2655.01</v>
      </c>
      <c r="K74" s="298"/>
      <c r="L74" s="310">
        <v>46996.959999999999</v>
      </c>
      <c r="M74" s="298">
        <f t="shared" si="7"/>
        <v>49651.97</v>
      </c>
      <c r="N74" s="298">
        <f>G74*J74</f>
        <v>40710.153333333335</v>
      </c>
      <c r="O74" s="298"/>
      <c r="P74" s="301"/>
      <c r="Q74" s="310"/>
      <c r="R74" s="310"/>
      <c r="S74" s="310"/>
      <c r="T74" s="298">
        <f>N74</f>
        <v>40710.153333333335</v>
      </c>
      <c r="U74" s="298">
        <f t="shared" si="30"/>
        <v>40710.153333333335</v>
      </c>
      <c r="V74" s="298">
        <f t="shared" si="30"/>
        <v>40710.153333333335</v>
      </c>
    </row>
    <row r="75" spans="1:29" ht="83.25" customHeight="1">
      <c r="A75" s="245"/>
      <c r="B75" s="245" t="s">
        <v>181</v>
      </c>
      <c r="C75" s="306" t="s">
        <v>278</v>
      </c>
      <c r="D75" s="294" t="s">
        <v>20</v>
      </c>
      <c r="E75" s="301">
        <v>122</v>
      </c>
      <c r="F75" s="301">
        <v>52</v>
      </c>
      <c r="G75" s="301">
        <f t="shared" si="26"/>
        <v>98.666666666666657</v>
      </c>
      <c r="H75" s="301"/>
      <c r="I75" s="301"/>
      <c r="J75" s="298">
        <v>2213.87</v>
      </c>
      <c r="K75" s="298"/>
      <c r="L75" s="310">
        <v>46996.959999999999</v>
      </c>
      <c r="M75" s="298">
        <f t="shared" si="7"/>
        <v>49210.83</v>
      </c>
      <c r="N75" s="298">
        <f>G75*J75</f>
        <v>218435.17333333331</v>
      </c>
      <c r="O75" s="298"/>
      <c r="P75" s="301"/>
      <c r="Q75" s="310"/>
      <c r="R75" s="310"/>
      <c r="S75" s="310"/>
      <c r="T75" s="298">
        <f>N75</f>
        <v>218435.17333333331</v>
      </c>
      <c r="U75" s="298">
        <f t="shared" si="30"/>
        <v>218435.17333333331</v>
      </c>
      <c r="V75" s="298">
        <f t="shared" si="30"/>
        <v>218435.17333333331</v>
      </c>
    </row>
    <row r="76" spans="1:29" ht="60" customHeight="1">
      <c r="A76" s="228" t="s">
        <v>247</v>
      </c>
      <c r="B76" s="245" t="s">
        <v>303</v>
      </c>
      <c r="C76" s="245" t="s">
        <v>219</v>
      </c>
      <c r="D76" s="294" t="s">
        <v>20</v>
      </c>
      <c r="E76" s="301">
        <f>E70+E69+E68</f>
        <v>155</v>
      </c>
      <c r="F76" s="301">
        <f>F70+F69+F68</f>
        <v>88</v>
      </c>
      <c r="G76" s="301">
        <f>G70+G69+G68</f>
        <v>132.66666666666666</v>
      </c>
      <c r="H76" s="301">
        <f>H70+H69+H68</f>
        <v>154</v>
      </c>
      <c r="I76" s="301">
        <f>I70+I69+I68</f>
        <v>154</v>
      </c>
      <c r="J76" s="298"/>
      <c r="K76" s="298"/>
      <c r="L76" s="310">
        <v>16842</v>
      </c>
      <c r="M76" s="298">
        <f t="shared" si="7"/>
        <v>16842</v>
      </c>
      <c r="N76" s="301">
        <f>E76*J76</f>
        <v>0</v>
      </c>
      <c r="O76" s="298"/>
      <c r="P76" s="301"/>
      <c r="Q76" s="310">
        <f>G76*L76</f>
        <v>2234372</v>
      </c>
      <c r="R76" s="310"/>
      <c r="S76" s="310"/>
      <c r="T76" s="298">
        <f>SUM(N76:Q76)</f>
        <v>2234372</v>
      </c>
      <c r="U76" s="298">
        <f t="shared" si="30"/>
        <v>2234372</v>
      </c>
      <c r="V76" s="298">
        <f t="shared" si="30"/>
        <v>2234372</v>
      </c>
    </row>
    <row r="77" spans="1:29" ht="19.2" customHeight="1">
      <c r="A77" s="245"/>
      <c r="B77" s="245" t="s">
        <v>303</v>
      </c>
      <c r="C77" s="245" t="s">
        <v>220</v>
      </c>
      <c r="D77" s="294"/>
      <c r="E77" s="301"/>
      <c r="F77" s="301"/>
      <c r="G77" s="301">
        <v>154</v>
      </c>
      <c r="H77" s="301">
        <v>154</v>
      </c>
      <c r="I77" s="301">
        <v>154</v>
      </c>
      <c r="J77" s="298"/>
      <c r="K77" s="298"/>
      <c r="L77" s="310">
        <v>21348</v>
      </c>
      <c r="M77" s="298">
        <f t="shared" si="7"/>
        <v>21348</v>
      </c>
      <c r="N77" s="301"/>
      <c r="O77" s="298"/>
      <c r="P77" s="301"/>
      <c r="Q77" s="310"/>
      <c r="R77" s="310"/>
      <c r="S77" s="310">
        <f>G77*L77</f>
        <v>3287592</v>
      </c>
      <c r="T77" s="298">
        <f>S77:S78</f>
        <v>3287592</v>
      </c>
      <c r="U77" s="298">
        <f>S77</f>
        <v>3287592</v>
      </c>
      <c r="V77" s="298">
        <f>S77</f>
        <v>3287592</v>
      </c>
    </row>
    <row r="78" spans="1:29" ht="24" customHeight="1">
      <c r="A78" s="303" t="s">
        <v>57</v>
      </c>
      <c r="B78" s="297"/>
      <c r="C78" s="297"/>
      <c r="D78" s="303"/>
      <c r="E78" s="304"/>
      <c r="F78" s="304"/>
      <c r="G78" s="304"/>
      <c r="H78" s="304"/>
      <c r="I78" s="304"/>
      <c r="J78" s="300"/>
      <c r="K78" s="298"/>
      <c r="L78" s="312"/>
      <c r="M78" s="298">
        <f t="shared" si="7"/>
        <v>0</v>
      </c>
      <c r="N78" s="312">
        <f>N79+N87</f>
        <v>7893658.4933333332</v>
      </c>
      <c r="O78" s="312">
        <f>O79+O87</f>
        <v>1355932.5999999999</v>
      </c>
      <c r="P78" s="317"/>
      <c r="Q78" s="312">
        <f>Q79+Q87</f>
        <v>7128683.8666666672</v>
      </c>
      <c r="R78" s="312"/>
      <c r="S78" s="312">
        <f>S88</f>
        <v>2412324</v>
      </c>
      <c r="T78" s="312">
        <f>T79+T87+T88</f>
        <v>18790598.960000001</v>
      </c>
      <c r="U78" s="300">
        <f>U79+U87+U88</f>
        <v>18125784.906666666</v>
      </c>
      <c r="V78" s="300">
        <f>V79+V87+V88</f>
        <v>18125784.906666666</v>
      </c>
      <c r="W78" s="236">
        <v>6315385.3799999999</v>
      </c>
      <c r="X78" s="236">
        <f>W78-Q78</f>
        <v>-813298.48666666728</v>
      </c>
      <c r="Y78" s="224">
        <f>X78/G87</f>
        <v>-7283.2700298507516</v>
      </c>
      <c r="AA78" s="224">
        <v>5964695.5300000003</v>
      </c>
      <c r="AB78" s="236">
        <f>AA78-Q78</f>
        <v>-1163988.3366666669</v>
      </c>
      <c r="AC78" s="224">
        <f>AB78/I87</f>
        <v>-10300.781740412982</v>
      </c>
    </row>
    <row r="79" spans="1:29" ht="76.95" customHeight="1">
      <c r="A79" s="228" t="s">
        <v>246</v>
      </c>
      <c r="B79" s="240" t="s">
        <v>76</v>
      </c>
      <c r="C79" s="240"/>
      <c r="D79" s="294"/>
      <c r="E79" s="301"/>
      <c r="F79" s="301"/>
      <c r="G79" s="301"/>
      <c r="H79" s="301"/>
      <c r="I79" s="301"/>
      <c r="J79" s="298"/>
      <c r="K79" s="298"/>
      <c r="L79" s="310"/>
      <c r="M79" s="298">
        <f t="shared" si="7"/>
        <v>0</v>
      </c>
      <c r="N79" s="298">
        <f>SUM(N80:N86)</f>
        <v>7893658.4933333332</v>
      </c>
      <c r="O79" s="298">
        <f>SUM(O80:O88)</f>
        <v>1355932.5999999999</v>
      </c>
      <c r="P79" s="301"/>
      <c r="Q79" s="310">
        <f>SUM(Q80:Q84)</f>
        <v>5247993.8666666672</v>
      </c>
      <c r="R79" s="310"/>
      <c r="S79" s="310"/>
      <c r="T79" s="298">
        <f>SUM(T80:T86)</f>
        <v>14497584.960000001</v>
      </c>
      <c r="U79" s="298">
        <f>SUM(U80:U86)</f>
        <v>13832770.906666666</v>
      </c>
      <c r="V79" s="298">
        <f>SUM(V80:V86)</f>
        <v>13832770.906666666</v>
      </c>
      <c r="W79" s="236">
        <v>15874228.029999999</v>
      </c>
      <c r="AA79" s="236">
        <f>15874228.03+U88</f>
        <v>18286552.030000001</v>
      </c>
      <c r="AB79" s="236">
        <f>U78-AA79</f>
        <v>-160767.12333333492</v>
      </c>
    </row>
    <row r="80" spans="1:29" ht="22.5" customHeight="1">
      <c r="A80" s="228"/>
      <c r="B80" s="245" t="s">
        <v>266</v>
      </c>
      <c r="C80" s="471" t="s">
        <v>273</v>
      </c>
      <c r="D80" s="294" t="s">
        <v>20</v>
      </c>
      <c r="E80" s="301">
        <v>0</v>
      </c>
      <c r="F80" s="301">
        <v>19</v>
      </c>
      <c r="G80" s="301">
        <f t="shared" ref="G80:G86" si="34">(E80/12*8)+(F80/12*4)</f>
        <v>6.333333333333333</v>
      </c>
      <c r="H80" s="301">
        <v>0</v>
      </c>
      <c r="I80" s="301">
        <v>0</v>
      </c>
      <c r="J80" s="298">
        <f>45831</f>
        <v>45831</v>
      </c>
      <c r="K80" s="298">
        <f>(12142.68)</f>
        <v>12142.68</v>
      </c>
      <c r="L80" s="310">
        <v>46996.959999999999</v>
      </c>
      <c r="M80" s="298">
        <f t="shared" si="7"/>
        <v>104970.64</v>
      </c>
      <c r="N80" s="298">
        <f t="shared" ref="N80:N87" si="35">G80*J80</f>
        <v>290263</v>
      </c>
      <c r="O80" s="298">
        <f t="shared" ref="O80:O86" si="36">G80*K80</f>
        <v>76903.64</v>
      </c>
      <c r="P80" s="301"/>
      <c r="Q80" s="310">
        <f>G80*L80</f>
        <v>297647.41333333333</v>
      </c>
      <c r="R80" s="310"/>
      <c r="S80" s="310"/>
      <c r="T80" s="298">
        <f>N80+O80+P80+Q80+R80</f>
        <v>664814.05333333334</v>
      </c>
      <c r="U80" s="298">
        <v>0</v>
      </c>
      <c r="V80" s="298">
        <f>U80</f>
        <v>0</v>
      </c>
    </row>
    <row r="81" spans="1:29" ht="24" customHeight="1">
      <c r="A81" s="228"/>
      <c r="B81" s="245" t="s">
        <v>264</v>
      </c>
      <c r="C81" s="472"/>
      <c r="D81" s="294" t="s">
        <v>20</v>
      </c>
      <c r="E81" s="301">
        <v>0</v>
      </c>
      <c r="F81" s="301">
        <v>0</v>
      </c>
      <c r="G81" s="301">
        <f t="shared" si="34"/>
        <v>0</v>
      </c>
      <c r="H81" s="301">
        <v>17</v>
      </c>
      <c r="I81" s="301">
        <v>17</v>
      </c>
      <c r="J81" s="298">
        <v>36323.51</v>
      </c>
      <c r="K81" s="298">
        <f>(12142.68)</f>
        <v>12142.68</v>
      </c>
      <c r="L81" s="310">
        <v>46996.959999999999</v>
      </c>
      <c r="M81" s="298">
        <f t="shared" si="7"/>
        <v>95463.15</v>
      </c>
      <c r="N81" s="298">
        <f t="shared" si="35"/>
        <v>0</v>
      </c>
      <c r="O81" s="298">
        <f t="shared" si="36"/>
        <v>0</v>
      </c>
      <c r="P81" s="301"/>
      <c r="Q81" s="310">
        <f>G81*L81</f>
        <v>0</v>
      </c>
      <c r="R81" s="310"/>
      <c r="S81" s="310"/>
      <c r="T81" s="298">
        <f t="shared" ref="T81:T87" si="37">SUM(N81:Q81)</f>
        <v>0</v>
      </c>
      <c r="U81" s="298">
        <f t="shared" ref="U81:U86" si="38">T81</f>
        <v>0</v>
      </c>
      <c r="V81" s="298">
        <f>U81</f>
        <v>0</v>
      </c>
      <c r="X81" s="236">
        <f>W79-U78</f>
        <v>-2251556.8766666669</v>
      </c>
    </row>
    <row r="82" spans="1:29" ht="112.95" customHeight="1">
      <c r="A82" s="228"/>
      <c r="B82" s="228" t="s">
        <v>263</v>
      </c>
      <c r="C82" s="473"/>
      <c r="D82" s="294" t="s">
        <v>20</v>
      </c>
      <c r="E82" s="301">
        <v>17</v>
      </c>
      <c r="F82" s="301">
        <v>0</v>
      </c>
      <c r="G82" s="301">
        <f t="shared" si="34"/>
        <v>11.333333333333334</v>
      </c>
      <c r="H82" s="301">
        <v>23</v>
      </c>
      <c r="I82" s="301">
        <v>23</v>
      </c>
      <c r="J82" s="302">
        <v>71487.61</v>
      </c>
      <c r="K82" s="298">
        <f>(12142.68)</f>
        <v>12142.68</v>
      </c>
      <c r="L82" s="310">
        <v>46996.959999999999</v>
      </c>
      <c r="M82" s="298"/>
      <c r="N82" s="298">
        <f t="shared" si="35"/>
        <v>810192.91333333333</v>
      </c>
      <c r="O82" s="298">
        <f t="shared" si="36"/>
        <v>137617.04</v>
      </c>
      <c r="P82" s="301"/>
      <c r="Q82" s="310">
        <f>G82*L82</f>
        <v>532632.21333333338</v>
      </c>
      <c r="R82" s="310"/>
      <c r="S82" s="310"/>
      <c r="T82" s="298">
        <f t="shared" si="37"/>
        <v>1480442.1666666667</v>
      </c>
      <c r="U82" s="298">
        <f t="shared" si="38"/>
        <v>1480442.1666666667</v>
      </c>
      <c r="V82" s="298">
        <f>U82</f>
        <v>1480442.1666666667</v>
      </c>
    </row>
    <row r="83" spans="1:29" ht="110.4">
      <c r="A83" s="228"/>
      <c r="B83" s="245" t="s">
        <v>264</v>
      </c>
      <c r="C83" s="228" t="s">
        <v>268</v>
      </c>
      <c r="D83" s="294" t="s">
        <v>20</v>
      </c>
      <c r="E83" s="307">
        <v>95</v>
      </c>
      <c r="F83" s="301">
        <v>92</v>
      </c>
      <c r="G83" s="301">
        <f t="shared" si="34"/>
        <v>94</v>
      </c>
      <c r="H83" s="301">
        <v>73</v>
      </c>
      <c r="I83" s="301">
        <v>73</v>
      </c>
      <c r="J83" s="302">
        <v>69653.86</v>
      </c>
      <c r="K83" s="298">
        <f>(12142.68)</f>
        <v>12142.68</v>
      </c>
      <c r="L83" s="310">
        <v>46996.959999999999</v>
      </c>
      <c r="M83" s="298">
        <f t="shared" ref="M83:M123" si="39">J83+K83+L83</f>
        <v>128793.5</v>
      </c>
      <c r="N83" s="298">
        <f t="shared" si="35"/>
        <v>6547462.8399999999</v>
      </c>
      <c r="O83" s="298">
        <f t="shared" si="36"/>
        <v>1141411.92</v>
      </c>
      <c r="P83" s="301"/>
      <c r="Q83" s="310">
        <f>G83*L83</f>
        <v>4417714.24</v>
      </c>
      <c r="R83" s="310"/>
      <c r="S83" s="310"/>
      <c r="T83" s="298">
        <f t="shared" si="37"/>
        <v>12106589</v>
      </c>
      <c r="U83" s="298">
        <f t="shared" si="38"/>
        <v>12106589</v>
      </c>
      <c r="V83" s="298">
        <f>U83</f>
        <v>12106589</v>
      </c>
    </row>
    <row r="84" spans="1:29" ht="36" customHeight="1">
      <c r="A84" s="306"/>
      <c r="B84" s="245" t="s">
        <v>181</v>
      </c>
      <c r="C84" s="471" t="s">
        <v>280</v>
      </c>
      <c r="D84" s="294" t="s">
        <v>20</v>
      </c>
      <c r="E84" s="301">
        <v>0</v>
      </c>
      <c r="F84" s="301">
        <v>0</v>
      </c>
      <c r="G84" s="301">
        <f t="shared" si="34"/>
        <v>0</v>
      </c>
      <c r="H84" s="301">
        <v>40</v>
      </c>
      <c r="I84" s="301">
        <v>40</v>
      </c>
      <c r="J84" s="302">
        <v>1660.4</v>
      </c>
      <c r="K84" s="298"/>
      <c r="L84" s="310">
        <v>46996.959999999999</v>
      </c>
      <c r="M84" s="298">
        <f t="shared" si="39"/>
        <v>48657.36</v>
      </c>
      <c r="N84" s="298">
        <f t="shared" si="35"/>
        <v>0</v>
      </c>
      <c r="O84" s="298">
        <f t="shared" si="36"/>
        <v>0</v>
      </c>
      <c r="P84" s="301"/>
      <c r="Q84" s="310"/>
      <c r="R84" s="310"/>
      <c r="S84" s="310"/>
      <c r="T84" s="298">
        <f t="shared" si="37"/>
        <v>0</v>
      </c>
      <c r="U84" s="298">
        <f t="shared" si="38"/>
        <v>0</v>
      </c>
      <c r="V84" s="298">
        <f t="shared" ref="U84:V87" si="40">U84</f>
        <v>0</v>
      </c>
    </row>
    <row r="85" spans="1:29" ht="47.25" customHeight="1">
      <c r="A85" s="306"/>
      <c r="B85" s="245" t="s">
        <v>318</v>
      </c>
      <c r="C85" s="473"/>
      <c r="D85" s="294" t="s">
        <v>20</v>
      </c>
      <c r="E85" s="301">
        <v>17</v>
      </c>
      <c r="F85" s="301">
        <v>0</v>
      </c>
      <c r="G85" s="301">
        <f t="shared" si="34"/>
        <v>11.333333333333334</v>
      </c>
      <c r="H85" s="301">
        <v>23</v>
      </c>
      <c r="I85" s="301">
        <v>23</v>
      </c>
      <c r="J85" s="302">
        <v>3320.82</v>
      </c>
      <c r="K85" s="298"/>
      <c r="L85" s="310">
        <v>46996.959999999999</v>
      </c>
      <c r="M85" s="298">
        <f t="shared" si="39"/>
        <v>50317.78</v>
      </c>
      <c r="N85" s="298">
        <f t="shared" si="35"/>
        <v>37635.960000000006</v>
      </c>
      <c r="O85" s="298">
        <f t="shared" si="36"/>
        <v>0</v>
      </c>
      <c r="P85" s="301"/>
      <c r="Q85" s="310"/>
      <c r="R85" s="310"/>
      <c r="S85" s="310"/>
      <c r="T85" s="298">
        <f t="shared" si="37"/>
        <v>37635.960000000006</v>
      </c>
      <c r="U85" s="298">
        <f t="shared" si="38"/>
        <v>37635.960000000006</v>
      </c>
      <c r="V85" s="298">
        <f>U85</f>
        <v>37635.960000000006</v>
      </c>
    </row>
    <row r="86" spans="1:29" ht="81" customHeight="1">
      <c r="A86" s="306"/>
      <c r="B86" s="245" t="s">
        <v>181</v>
      </c>
      <c r="C86" s="306" t="s">
        <v>278</v>
      </c>
      <c r="D86" s="294" t="s">
        <v>20</v>
      </c>
      <c r="E86" s="301">
        <v>95</v>
      </c>
      <c r="F86" s="301">
        <v>92</v>
      </c>
      <c r="G86" s="301">
        <f t="shared" si="34"/>
        <v>94</v>
      </c>
      <c r="H86" s="301">
        <v>73</v>
      </c>
      <c r="I86" s="301">
        <v>73</v>
      </c>
      <c r="J86" s="302">
        <v>2213.87</v>
      </c>
      <c r="K86" s="298"/>
      <c r="L86" s="310">
        <v>46996.959999999999</v>
      </c>
      <c r="M86" s="298">
        <f t="shared" si="39"/>
        <v>49210.83</v>
      </c>
      <c r="N86" s="298">
        <f t="shared" si="35"/>
        <v>208103.78</v>
      </c>
      <c r="O86" s="298">
        <f t="shared" si="36"/>
        <v>0</v>
      </c>
      <c r="P86" s="301"/>
      <c r="Q86" s="310"/>
      <c r="R86" s="310"/>
      <c r="S86" s="310"/>
      <c r="T86" s="298">
        <f t="shared" si="37"/>
        <v>208103.78</v>
      </c>
      <c r="U86" s="298">
        <f t="shared" si="38"/>
        <v>208103.78</v>
      </c>
      <c r="V86" s="298">
        <f t="shared" si="40"/>
        <v>208103.78</v>
      </c>
    </row>
    <row r="87" spans="1:29" ht="55.2">
      <c r="A87" s="228" t="s">
        <v>247</v>
      </c>
      <c r="B87" s="245" t="s">
        <v>28</v>
      </c>
      <c r="C87" s="245" t="s">
        <v>219</v>
      </c>
      <c r="D87" s="294" t="s">
        <v>20</v>
      </c>
      <c r="E87" s="301">
        <f>E80+E81+E82+E83</f>
        <v>112</v>
      </c>
      <c r="F87" s="301">
        <f>F80+F81+F82+F83</f>
        <v>111</v>
      </c>
      <c r="G87" s="301">
        <f>G80+G81+G82+G83</f>
        <v>111.66666666666667</v>
      </c>
      <c r="H87" s="301">
        <f>H80+H81+H82+H83</f>
        <v>113</v>
      </c>
      <c r="I87" s="301">
        <f>I80+I81+I82+I83</f>
        <v>113</v>
      </c>
      <c r="J87" s="298"/>
      <c r="K87" s="298">
        <f>(12142.68)</f>
        <v>12142.68</v>
      </c>
      <c r="L87" s="310">
        <v>16842</v>
      </c>
      <c r="M87" s="298">
        <f t="shared" si="39"/>
        <v>28984.68</v>
      </c>
      <c r="N87" s="298">
        <f t="shared" si="35"/>
        <v>0</v>
      </c>
      <c r="O87" s="298">
        <v>0</v>
      </c>
      <c r="P87" s="301"/>
      <c r="Q87" s="310">
        <f>G87*L87</f>
        <v>1880690</v>
      </c>
      <c r="R87" s="310"/>
      <c r="S87" s="310"/>
      <c r="T87" s="298">
        <f t="shared" si="37"/>
        <v>1880690</v>
      </c>
      <c r="U87" s="298">
        <f t="shared" si="40"/>
        <v>1880690</v>
      </c>
      <c r="V87" s="298">
        <f t="shared" si="40"/>
        <v>1880690</v>
      </c>
    </row>
    <row r="88" spans="1:29" ht="18" customHeight="1">
      <c r="A88" s="245"/>
      <c r="B88" s="245" t="s">
        <v>28</v>
      </c>
      <c r="C88" s="245" t="s">
        <v>220</v>
      </c>
      <c r="D88" s="294"/>
      <c r="E88" s="301"/>
      <c r="F88" s="301"/>
      <c r="G88" s="301">
        <v>113</v>
      </c>
      <c r="H88" s="301">
        <v>113</v>
      </c>
      <c r="I88" s="301">
        <v>113</v>
      </c>
      <c r="J88" s="298"/>
      <c r="K88" s="298">
        <f>(12142.68)</f>
        <v>12142.68</v>
      </c>
      <c r="L88" s="310">
        <v>21348</v>
      </c>
      <c r="M88" s="298">
        <f t="shared" si="39"/>
        <v>33490.68</v>
      </c>
      <c r="N88" s="301"/>
      <c r="O88" s="298"/>
      <c r="P88" s="301"/>
      <c r="Q88" s="310"/>
      <c r="R88" s="310"/>
      <c r="S88" s="310">
        <f>G88*L88</f>
        <v>2412324</v>
      </c>
      <c r="T88" s="298">
        <f>S88</f>
        <v>2412324</v>
      </c>
      <c r="U88" s="298">
        <f>S88</f>
        <v>2412324</v>
      </c>
      <c r="V88" s="298">
        <f>S88</f>
        <v>2412324</v>
      </c>
    </row>
    <row r="89" spans="1:29" ht="31.2" customHeight="1">
      <c r="A89" s="297" t="s">
        <v>61</v>
      </c>
      <c r="B89" s="297"/>
      <c r="C89" s="297"/>
      <c r="D89" s="303"/>
      <c r="E89" s="304"/>
      <c r="F89" s="304"/>
      <c r="G89" s="304"/>
      <c r="H89" s="304"/>
      <c r="I89" s="304"/>
      <c r="J89" s="300"/>
      <c r="K89" s="298"/>
      <c r="L89" s="312"/>
      <c r="M89" s="298">
        <f t="shared" si="39"/>
        <v>0</v>
      </c>
      <c r="N89" s="312">
        <f>N90+N98</f>
        <v>15049541.259999998</v>
      </c>
      <c r="O89" s="312">
        <f>O90+O98</f>
        <v>2323299.44</v>
      </c>
      <c r="P89" s="312"/>
      <c r="Q89" s="312">
        <f>Q90+Q98</f>
        <v>12147153.013333334</v>
      </c>
      <c r="R89" s="312"/>
      <c r="S89" s="312">
        <f>S99</f>
        <v>4419036</v>
      </c>
      <c r="T89" s="312">
        <f>T90+T98+T99</f>
        <v>33939029.713333338</v>
      </c>
      <c r="U89" s="300">
        <f>U90+U98+U99</f>
        <v>33939029.713333338</v>
      </c>
      <c r="V89" s="300">
        <f>V90+V98+V99</f>
        <v>33939029.713333338</v>
      </c>
      <c r="W89" s="224">
        <v>11124194.529999999</v>
      </c>
      <c r="X89" s="236">
        <f>W89-Q89</f>
        <v>-1022958.4833333343</v>
      </c>
      <c r="Y89" s="224">
        <f>X89/G98</f>
        <v>-5460.6324733096135</v>
      </c>
      <c r="AA89" s="224">
        <v>11727438.529999999</v>
      </c>
      <c r="AB89" s="236">
        <f>AA89-Q89</f>
        <v>-419714.48333333433</v>
      </c>
      <c r="AC89" s="239">
        <f>AB89/I98</f>
        <v>-2027.6061996779436</v>
      </c>
    </row>
    <row r="90" spans="1:29" ht="83.25" customHeight="1">
      <c r="A90" s="228" t="s">
        <v>246</v>
      </c>
      <c r="B90" s="240" t="s">
        <v>76</v>
      </c>
      <c r="C90" s="240"/>
      <c r="D90" s="294"/>
      <c r="E90" s="301"/>
      <c r="F90" s="301"/>
      <c r="G90" s="301"/>
      <c r="H90" s="301"/>
      <c r="I90" s="301"/>
      <c r="J90" s="298"/>
      <c r="K90" s="298"/>
      <c r="L90" s="310"/>
      <c r="M90" s="298">
        <f t="shared" si="39"/>
        <v>0</v>
      </c>
      <c r="N90" s="298">
        <f>N91+N94+N97+N93+N95+N92+N96</f>
        <v>15049541.259999998</v>
      </c>
      <c r="O90" s="298">
        <f>SUM(O91:O99)</f>
        <v>2323299.44</v>
      </c>
      <c r="P90" s="298"/>
      <c r="Q90" s="310">
        <f>SUM(Q91:Q97)</f>
        <v>8992085.0133333337</v>
      </c>
      <c r="R90" s="310"/>
      <c r="S90" s="310"/>
      <c r="T90" s="298">
        <f>SUM(T91:T97)</f>
        <v>26364925.713333335</v>
      </c>
      <c r="U90" s="298">
        <f>SUM(U91:U97)</f>
        <v>26364925.713333335</v>
      </c>
      <c r="V90" s="298">
        <f>SUM(V91:V97)</f>
        <v>26364925.713333335</v>
      </c>
      <c r="W90" s="236">
        <v>35333149.530000001</v>
      </c>
      <c r="AA90" s="236">
        <f>35333149.53+U99</f>
        <v>39752185.530000001</v>
      </c>
      <c r="AB90" s="236">
        <f>U89-AA90</f>
        <v>-5813155.8166666627</v>
      </c>
    </row>
    <row r="91" spans="1:29" ht="96.6">
      <c r="A91" s="228"/>
      <c r="B91" s="245" t="s">
        <v>266</v>
      </c>
      <c r="C91" s="228" t="s">
        <v>273</v>
      </c>
      <c r="D91" s="294" t="s">
        <v>20</v>
      </c>
      <c r="E91" s="301">
        <v>24</v>
      </c>
      <c r="F91" s="301">
        <v>27</v>
      </c>
      <c r="G91" s="301">
        <f t="shared" ref="G91:G97" si="41">(E91/12*8)+(F91/12*4)</f>
        <v>25</v>
      </c>
      <c r="H91" s="301">
        <v>31</v>
      </c>
      <c r="I91" s="301">
        <v>31</v>
      </c>
      <c r="J91" s="298">
        <f>45831</f>
        <v>45831</v>
      </c>
      <c r="K91" s="298">
        <f>(12142.68)</f>
        <v>12142.68</v>
      </c>
      <c r="L91" s="310">
        <v>46996.959999999999</v>
      </c>
      <c r="M91" s="298">
        <f t="shared" si="39"/>
        <v>104970.64</v>
      </c>
      <c r="N91" s="298">
        <f t="shared" ref="N91:N97" si="42">G91*J91</f>
        <v>1145775</v>
      </c>
      <c r="O91" s="298">
        <f>G91*K91</f>
        <v>303567</v>
      </c>
      <c r="P91" s="298"/>
      <c r="Q91" s="310">
        <f>G91*L91</f>
        <v>1174924</v>
      </c>
      <c r="R91" s="310"/>
      <c r="S91" s="310"/>
      <c r="T91" s="298">
        <f t="shared" ref="T91:T97" si="43">SUM(N91:Q91)</f>
        <v>2624266</v>
      </c>
      <c r="U91" s="298">
        <f t="shared" ref="U91:U98" si="44">T91</f>
        <v>2624266</v>
      </c>
      <c r="V91" s="298">
        <f t="shared" ref="V91:V98" si="45">U91</f>
        <v>2624266</v>
      </c>
      <c r="X91" s="236">
        <f>W90-U89</f>
        <v>1394119.8166666627</v>
      </c>
      <c r="AA91" s="236"/>
    </row>
    <row r="92" spans="1:29" ht="96.6">
      <c r="A92" s="228"/>
      <c r="B92" s="245" t="s">
        <v>397</v>
      </c>
      <c r="C92" s="228" t="s">
        <v>274</v>
      </c>
      <c r="D92" s="404" t="s">
        <v>20</v>
      </c>
      <c r="E92" s="301">
        <v>0</v>
      </c>
      <c r="F92" s="301">
        <v>12</v>
      </c>
      <c r="G92" s="301">
        <f t="shared" si="41"/>
        <v>4</v>
      </c>
      <c r="H92" s="301">
        <v>37</v>
      </c>
      <c r="I92" s="301">
        <v>37</v>
      </c>
      <c r="J92" s="298">
        <v>151319.69</v>
      </c>
      <c r="K92" s="298">
        <f t="shared" ref="K92" si="46">(12142.68)</f>
        <v>12142.68</v>
      </c>
      <c r="L92" s="310">
        <v>46996.959999999999</v>
      </c>
      <c r="M92" s="298">
        <f t="shared" si="39"/>
        <v>210459.33</v>
      </c>
      <c r="N92" s="298">
        <f t="shared" si="42"/>
        <v>605278.76</v>
      </c>
      <c r="O92" s="298">
        <f>G92*K92</f>
        <v>48570.720000000001</v>
      </c>
      <c r="P92" s="301"/>
      <c r="Q92" s="310">
        <f>G92*L92</f>
        <v>187987.84</v>
      </c>
      <c r="R92" s="310"/>
      <c r="S92" s="310"/>
      <c r="T92" s="298">
        <f t="shared" si="43"/>
        <v>841837.32</v>
      </c>
      <c r="U92" s="298">
        <f t="shared" si="44"/>
        <v>841837.32</v>
      </c>
      <c r="V92" s="298">
        <f t="shared" si="45"/>
        <v>841837.32</v>
      </c>
    </row>
    <row r="93" spans="1:29" ht="138">
      <c r="A93" s="245"/>
      <c r="B93" s="245" t="s">
        <v>340</v>
      </c>
      <c r="C93" s="228" t="s">
        <v>277</v>
      </c>
      <c r="D93" s="294" t="s">
        <v>20</v>
      </c>
      <c r="E93" s="301">
        <v>9</v>
      </c>
      <c r="F93" s="301">
        <v>9</v>
      </c>
      <c r="G93" s="301">
        <f t="shared" si="41"/>
        <v>9</v>
      </c>
      <c r="H93" s="301">
        <v>10</v>
      </c>
      <c r="I93" s="301">
        <v>10</v>
      </c>
      <c r="J93" s="298">
        <f>244789.02</f>
        <v>244789.02</v>
      </c>
      <c r="K93" s="298">
        <f>(12142.68)</f>
        <v>12142.68</v>
      </c>
      <c r="L93" s="310">
        <v>46996.959999999999</v>
      </c>
      <c r="M93" s="298">
        <f t="shared" si="39"/>
        <v>303928.65999999997</v>
      </c>
      <c r="N93" s="298">
        <f t="shared" si="42"/>
        <v>2203101.1799999997</v>
      </c>
      <c r="O93" s="298">
        <f>G93*K93</f>
        <v>109284.12</v>
      </c>
      <c r="P93" s="298"/>
      <c r="Q93" s="310">
        <f>G93*L93</f>
        <v>422972.64</v>
      </c>
      <c r="R93" s="310"/>
      <c r="S93" s="310"/>
      <c r="T93" s="298">
        <f t="shared" si="43"/>
        <v>2735357.94</v>
      </c>
      <c r="U93" s="298">
        <f t="shared" si="44"/>
        <v>2735357.94</v>
      </c>
      <c r="V93" s="298">
        <f t="shared" si="45"/>
        <v>2735357.94</v>
      </c>
    </row>
    <row r="94" spans="1:29" ht="110.4">
      <c r="A94" s="245"/>
      <c r="B94" s="245" t="s">
        <v>264</v>
      </c>
      <c r="C94" s="228" t="s">
        <v>275</v>
      </c>
      <c r="D94" s="294" t="s">
        <v>20</v>
      </c>
      <c r="E94" s="301">
        <v>169</v>
      </c>
      <c r="F94" s="301">
        <v>122</v>
      </c>
      <c r="G94" s="301">
        <f t="shared" si="41"/>
        <v>153.33333333333334</v>
      </c>
      <c r="H94" s="301">
        <v>166</v>
      </c>
      <c r="I94" s="301">
        <v>166</v>
      </c>
      <c r="J94" s="302">
        <f>69653.86</f>
        <v>69653.86</v>
      </c>
      <c r="K94" s="298">
        <f>(12142.68)</f>
        <v>12142.68</v>
      </c>
      <c r="L94" s="310">
        <v>46996.959999999999</v>
      </c>
      <c r="M94" s="298">
        <f t="shared" si="39"/>
        <v>128793.5</v>
      </c>
      <c r="N94" s="298">
        <f t="shared" si="42"/>
        <v>10680258.533333333</v>
      </c>
      <c r="O94" s="298"/>
      <c r="P94" s="298"/>
      <c r="Q94" s="310">
        <f>G94*L94</f>
        <v>7206200.5333333332</v>
      </c>
      <c r="R94" s="310"/>
      <c r="S94" s="310"/>
      <c r="T94" s="298">
        <f t="shared" si="43"/>
        <v>17886459.066666666</v>
      </c>
      <c r="U94" s="298">
        <f t="shared" si="44"/>
        <v>17886459.066666666</v>
      </c>
      <c r="V94" s="298">
        <f t="shared" si="45"/>
        <v>17886459.066666666</v>
      </c>
    </row>
    <row r="95" spans="1:29" ht="69">
      <c r="A95" s="245"/>
      <c r="B95" s="245" t="s">
        <v>264</v>
      </c>
      <c r="C95" s="228" t="s">
        <v>319</v>
      </c>
      <c r="D95" s="294" t="s">
        <v>20</v>
      </c>
      <c r="E95" s="301">
        <v>0</v>
      </c>
      <c r="F95" s="301">
        <v>12</v>
      </c>
      <c r="G95" s="301">
        <f t="shared" si="41"/>
        <v>4</v>
      </c>
      <c r="H95" s="301">
        <v>10</v>
      </c>
      <c r="I95" s="301">
        <v>10</v>
      </c>
      <c r="J95" s="302">
        <v>3982.51</v>
      </c>
      <c r="K95" s="298">
        <f t="shared" ref="K95:K97" si="47">(12142.68)</f>
        <v>12142.68</v>
      </c>
      <c r="L95" s="310"/>
      <c r="M95" s="298"/>
      <c r="N95" s="298">
        <f t="shared" si="42"/>
        <v>15930.04</v>
      </c>
      <c r="O95" s="298"/>
      <c r="P95" s="298"/>
      <c r="Q95" s="310"/>
      <c r="R95" s="310"/>
      <c r="S95" s="310"/>
      <c r="T95" s="298">
        <f t="shared" si="43"/>
        <v>15930.04</v>
      </c>
      <c r="U95" s="298">
        <f t="shared" si="44"/>
        <v>15930.04</v>
      </c>
      <c r="V95" s="298">
        <f t="shared" si="45"/>
        <v>15930.04</v>
      </c>
    </row>
    <row r="96" spans="1:29" ht="69">
      <c r="A96" s="245"/>
      <c r="B96" s="245" t="s">
        <v>340</v>
      </c>
      <c r="C96" s="228" t="s">
        <v>319</v>
      </c>
      <c r="D96" s="404" t="s">
        <v>20</v>
      </c>
      <c r="E96" s="301">
        <v>9</v>
      </c>
      <c r="F96" s="301">
        <v>9</v>
      </c>
      <c r="G96" s="301">
        <f t="shared" ref="G96" si="48">(E96/12*8)+(F96/12*4)</f>
        <v>9</v>
      </c>
      <c r="H96" s="301">
        <v>10</v>
      </c>
      <c r="I96" s="301">
        <v>10</v>
      </c>
      <c r="J96" s="302">
        <f>6637.52</f>
        <v>6637.52</v>
      </c>
      <c r="K96" s="298">
        <f t="shared" si="47"/>
        <v>12142.68</v>
      </c>
      <c r="L96" s="310"/>
      <c r="M96" s="298"/>
      <c r="N96" s="298">
        <f t="shared" si="42"/>
        <v>59737.680000000008</v>
      </c>
      <c r="O96" s="298"/>
      <c r="P96" s="298"/>
      <c r="Q96" s="310"/>
      <c r="R96" s="310"/>
      <c r="S96" s="310"/>
      <c r="T96" s="298">
        <f t="shared" si="43"/>
        <v>59737.680000000008</v>
      </c>
      <c r="U96" s="298">
        <f t="shared" ref="U96" si="49">T96</f>
        <v>59737.680000000008</v>
      </c>
      <c r="V96" s="298">
        <f t="shared" ref="V96" si="50">U96</f>
        <v>59737.680000000008</v>
      </c>
    </row>
    <row r="97" spans="1:29" ht="69">
      <c r="A97" s="228"/>
      <c r="B97" s="245" t="s">
        <v>279</v>
      </c>
      <c r="C97" s="228" t="s">
        <v>278</v>
      </c>
      <c r="D97" s="294" t="s">
        <v>20</v>
      </c>
      <c r="E97" s="301">
        <v>169</v>
      </c>
      <c r="F97" s="301">
        <v>122</v>
      </c>
      <c r="G97" s="301">
        <f t="shared" si="41"/>
        <v>153.33333333333334</v>
      </c>
      <c r="H97" s="301">
        <v>166</v>
      </c>
      <c r="I97" s="301">
        <v>166</v>
      </c>
      <c r="J97" s="298">
        <f>2213.87</f>
        <v>2213.87</v>
      </c>
      <c r="K97" s="298">
        <f t="shared" si="47"/>
        <v>12142.68</v>
      </c>
      <c r="L97" s="310">
        <v>46996.959999999999</v>
      </c>
      <c r="M97" s="298">
        <f t="shared" si="39"/>
        <v>61353.509999999995</v>
      </c>
      <c r="N97" s="298">
        <f t="shared" si="42"/>
        <v>339460.06666666665</v>
      </c>
      <c r="O97" s="298">
        <f>G97*K97</f>
        <v>1861877.6</v>
      </c>
      <c r="P97" s="298"/>
      <c r="Q97" s="310"/>
      <c r="R97" s="310"/>
      <c r="S97" s="310"/>
      <c r="T97" s="298">
        <f t="shared" si="43"/>
        <v>2201337.666666667</v>
      </c>
      <c r="U97" s="298">
        <f t="shared" si="44"/>
        <v>2201337.666666667</v>
      </c>
      <c r="V97" s="298">
        <f t="shared" si="45"/>
        <v>2201337.666666667</v>
      </c>
    </row>
    <row r="98" spans="1:29" ht="61.5" customHeight="1">
      <c r="A98" s="228" t="s">
        <v>247</v>
      </c>
      <c r="B98" s="245" t="s">
        <v>28</v>
      </c>
      <c r="C98" s="245" t="s">
        <v>219</v>
      </c>
      <c r="D98" s="294" t="s">
        <v>20</v>
      </c>
      <c r="E98" s="301">
        <f>E91+E93+E94</f>
        <v>202</v>
      </c>
      <c r="F98" s="301">
        <f>F91+F93+F94</f>
        <v>158</v>
      </c>
      <c r="G98" s="301">
        <f>G91+G93+G94</f>
        <v>187.33333333333334</v>
      </c>
      <c r="H98" s="301">
        <f>H94+H93+H91</f>
        <v>207</v>
      </c>
      <c r="I98" s="301">
        <f>I94+I93+I91</f>
        <v>207</v>
      </c>
      <c r="J98" s="298"/>
      <c r="K98" s="298"/>
      <c r="L98" s="310">
        <v>16842</v>
      </c>
      <c r="M98" s="298">
        <f t="shared" si="39"/>
        <v>16842</v>
      </c>
      <c r="N98" s="301">
        <v>0</v>
      </c>
      <c r="O98" s="298">
        <f>G98*K98</f>
        <v>0</v>
      </c>
      <c r="P98" s="301"/>
      <c r="Q98" s="310">
        <f>G98*L98</f>
        <v>3155068</v>
      </c>
      <c r="R98" s="310"/>
      <c r="S98" s="310"/>
      <c r="T98" s="298">
        <f>Q98</f>
        <v>3155068</v>
      </c>
      <c r="U98" s="298">
        <f t="shared" si="44"/>
        <v>3155068</v>
      </c>
      <c r="V98" s="298">
        <f t="shared" si="45"/>
        <v>3155068</v>
      </c>
    </row>
    <row r="99" spans="1:29" ht="17.399999999999999" customHeight="1">
      <c r="A99" s="245"/>
      <c r="B99" s="245" t="s">
        <v>28</v>
      </c>
      <c r="C99" s="245" t="s">
        <v>220</v>
      </c>
      <c r="D99" s="294"/>
      <c r="E99" s="301"/>
      <c r="F99" s="301"/>
      <c r="G99" s="301">
        <v>207</v>
      </c>
      <c r="H99" s="301">
        <v>207</v>
      </c>
      <c r="I99" s="301">
        <v>207</v>
      </c>
      <c r="J99" s="298"/>
      <c r="K99" s="298"/>
      <c r="L99" s="310">
        <v>21348</v>
      </c>
      <c r="M99" s="298">
        <f t="shared" si="39"/>
        <v>21348</v>
      </c>
      <c r="N99" s="301"/>
      <c r="O99" s="298"/>
      <c r="P99" s="301"/>
      <c r="Q99" s="310"/>
      <c r="R99" s="310"/>
      <c r="S99" s="310">
        <f>G99*L99</f>
        <v>4419036</v>
      </c>
      <c r="T99" s="298">
        <f>S99</f>
        <v>4419036</v>
      </c>
      <c r="U99" s="298">
        <f>S99</f>
        <v>4419036</v>
      </c>
      <c r="V99" s="298">
        <f>S99</f>
        <v>4419036</v>
      </c>
    </row>
    <row r="100" spans="1:29" ht="20.399999999999999" customHeight="1">
      <c r="A100" s="297" t="s">
        <v>65</v>
      </c>
      <c r="B100" s="297"/>
      <c r="C100" s="297"/>
      <c r="D100" s="303"/>
      <c r="E100" s="304"/>
      <c r="F100" s="304"/>
      <c r="G100" s="304"/>
      <c r="H100" s="304"/>
      <c r="I100" s="304"/>
      <c r="J100" s="300"/>
      <c r="K100" s="298"/>
      <c r="L100" s="312"/>
      <c r="M100" s="298">
        <f t="shared" si="39"/>
        <v>0</v>
      </c>
      <c r="N100" s="312">
        <f>N101+N104</f>
        <v>8347652.0466666659</v>
      </c>
      <c r="O100" s="312">
        <f>O101+O104</f>
        <v>1582595.96</v>
      </c>
      <c r="P100" s="312"/>
      <c r="Q100" s="312">
        <f>Q101+Q104</f>
        <v>8320344.4533333313</v>
      </c>
      <c r="R100" s="312"/>
      <c r="S100" s="312">
        <f>S105</f>
        <v>2903328</v>
      </c>
      <c r="T100" s="312">
        <f>T101+T104+T105</f>
        <v>21153920.459999997</v>
      </c>
      <c r="U100" s="300">
        <f>U101+U104+U105</f>
        <v>21153920.459999997</v>
      </c>
      <c r="V100" s="300">
        <f>V101+V104+V105</f>
        <v>21153920.459999997</v>
      </c>
      <c r="W100" s="224">
        <v>6916925.5300000003</v>
      </c>
      <c r="X100" s="236">
        <f>W100-Q100</f>
        <v>-1403418.923333331</v>
      </c>
      <c r="Y100" s="224">
        <f>X100/G104</f>
        <v>-10767.920127877222</v>
      </c>
      <c r="AA100" s="224">
        <v>6466219.5300000003</v>
      </c>
      <c r="AB100" s="236">
        <f>AA100-Q100</f>
        <v>-1854124.923333331</v>
      </c>
      <c r="AC100" s="224">
        <f>AB100/I104</f>
        <v>-13633.271495098023</v>
      </c>
    </row>
    <row r="101" spans="1:29" ht="85.5" customHeight="1">
      <c r="A101" s="228" t="s">
        <v>246</v>
      </c>
      <c r="B101" s="240" t="s">
        <v>76</v>
      </c>
      <c r="C101" s="240"/>
      <c r="D101" s="294"/>
      <c r="E101" s="301"/>
      <c r="F101" s="301"/>
      <c r="G101" s="301"/>
      <c r="H101" s="301"/>
      <c r="I101" s="301"/>
      <c r="J101" s="298"/>
      <c r="K101" s="298"/>
      <c r="L101" s="310"/>
      <c r="M101" s="298">
        <f t="shared" si="39"/>
        <v>0</v>
      </c>
      <c r="N101" s="298">
        <f>SUM(N102:N105)</f>
        <v>8347652.0466666659</v>
      </c>
      <c r="O101" s="298">
        <f>SUM(O102:O105)</f>
        <v>1582595.96</v>
      </c>
      <c r="P101" s="298"/>
      <c r="Q101" s="310">
        <f>SUM(Q102:Q103)</f>
        <v>6125270.4533333322</v>
      </c>
      <c r="R101" s="310"/>
      <c r="S101" s="310"/>
      <c r="T101" s="298">
        <f>SUM(T102:T103)</f>
        <v>16055518.459999999</v>
      </c>
      <c r="U101" s="298">
        <f>SUM(U102:U103)</f>
        <v>16055518.459999999</v>
      </c>
      <c r="V101" s="298">
        <f>SUM(V102:V103)</f>
        <v>16055518.459999999</v>
      </c>
      <c r="W101" s="224">
        <v>17989534.530000001</v>
      </c>
      <c r="AA101" s="236">
        <f>17989534.53+U105</f>
        <v>20892862.530000001</v>
      </c>
      <c r="AB101" s="236">
        <f>U100-AA101</f>
        <v>261057.92999999598</v>
      </c>
    </row>
    <row r="102" spans="1:29" ht="96.6">
      <c r="A102" s="228"/>
      <c r="B102" s="245" t="s">
        <v>266</v>
      </c>
      <c r="C102" s="228" t="s">
        <v>269</v>
      </c>
      <c r="D102" s="294" t="s">
        <v>20</v>
      </c>
      <c r="E102" s="301">
        <v>29</v>
      </c>
      <c r="F102" s="301">
        <v>34</v>
      </c>
      <c r="G102" s="301">
        <f t="shared" ref="G102:G103" si="51">(E102/12*8)+(F102/12*4)</f>
        <v>30.666666666666664</v>
      </c>
      <c r="H102" s="301">
        <v>40</v>
      </c>
      <c r="I102" s="301">
        <v>40</v>
      </c>
      <c r="J102" s="298">
        <f>45831</f>
        <v>45831</v>
      </c>
      <c r="K102" s="298">
        <f>(12142.68)</f>
        <v>12142.68</v>
      </c>
      <c r="L102" s="310">
        <v>46996.959999999999</v>
      </c>
      <c r="M102" s="298">
        <f t="shared" si="39"/>
        <v>104970.64</v>
      </c>
      <c r="N102" s="298">
        <f>G102*J102</f>
        <v>1405484</v>
      </c>
      <c r="O102" s="298">
        <f>G102*K102</f>
        <v>372375.51999999996</v>
      </c>
      <c r="P102" s="308"/>
      <c r="Q102" s="310">
        <f>G102*L102</f>
        <v>1441240.1066666665</v>
      </c>
      <c r="R102" s="310"/>
      <c r="S102" s="310"/>
      <c r="T102" s="298">
        <f>N102+O102+P102+Q102+R102</f>
        <v>3219099.6266666665</v>
      </c>
      <c r="U102" s="298">
        <f t="shared" ref="U102:V104" si="52">T102</f>
        <v>3219099.6266666665</v>
      </c>
      <c r="V102" s="298">
        <f t="shared" si="52"/>
        <v>3219099.6266666665</v>
      </c>
      <c r="W102" s="236"/>
      <c r="X102" s="236">
        <f>W101-U100</f>
        <v>-3164385.929999996</v>
      </c>
    </row>
    <row r="103" spans="1:29" ht="108" customHeight="1">
      <c r="A103" s="245"/>
      <c r="B103" s="245" t="s">
        <v>264</v>
      </c>
      <c r="C103" s="228" t="s">
        <v>271</v>
      </c>
      <c r="D103" s="294" t="s">
        <v>20</v>
      </c>
      <c r="E103" s="301">
        <v>104</v>
      </c>
      <c r="F103" s="301">
        <v>91</v>
      </c>
      <c r="G103" s="301">
        <f t="shared" si="51"/>
        <v>99.666666666666657</v>
      </c>
      <c r="H103" s="301">
        <v>96</v>
      </c>
      <c r="I103" s="301">
        <v>96</v>
      </c>
      <c r="J103" s="302">
        <v>69653.86</v>
      </c>
      <c r="K103" s="298">
        <f>(12142.68)</f>
        <v>12142.68</v>
      </c>
      <c r="L103" s="310">
        <v>46996.959999999999</v>
      </c>
      <c r="M103" s="298">
        <f t="shared" si="39"/>
        <v>128793.5</v>
      </c>
      <c r="N103" s="298">
        <f>G103*J103</f>
        <v>6942168.0466666659</v>
      </c>
      <c r="O103" s="298">
        <f>G103*K103</f>
        <v>1210220.44</v>
      </c>
      <c r="P103" s="308"/>
      <c r="Q103" s="310">
        <f>G103*L103</f>
        <v>4684030.3466666657</v>
      </c>
      <c r="R103" s="310"/>
      <c r="S103" s="310"/>
      <c r="T103" s="298">
        <f>N103+O103+P103+Q103+R103</f>
        <v>12836418.833333332</v>
      </c>
      <c r="U103" s="298">
        <f t="shared" si="52"/>
        <v>12836418.833333332</v>
      </c>
      <c r="V103" s="298">
        <f t="shared" si="52"/>
        <v>12836418.833333332</v>
      </c>
    </row>
    <row r="104" spans="1:29" ht="55.2">
      <c r="A104" s="228" t="s">
        <v>247</v>
      </c>
      <c r="B104" s="245" t="s">
        <v>28</v>
      </c>
      <c r="C104" s="245" t="s">
        <v>219</v>
      </c>
      <c r="D104" s="294" t="s">
        <v>20</v>
      </c>
      <c r="E104" s="301">
        <f>E102+E103</f>
        <v>133</v>
      </c>
      <c r="F104" s="301">
        <f>F102+F103</f>
        <v>125</v>
      </c>
      <c r="G104" s="301">
        <f>G102+G103</f>
        <v>130.33333333333331</v>
      </c>
      <c r="H104" s="301">
        <f>H102+H103</f>
        <v>136</v>
      </c>
      <c r="I104" s="301">
        <f>I102+I103</f>
        <v>136</v>
      </c>
      <c r="J104" s="298"/>
      <c r="K104" s="298"/>
      <c r="L104" s="310">
        <v>16842</v>
      </c>
      <c r="M104" s="298">
        <f t="shared" si="39"/>
        <v>16842</v>
      </c>
      <c r="N104" s="301">
        <v>0</v>
      </c>
      <c r="O104" s="298">
        <v>0</v>
      </c>
      <c r="P104" s="301"/>
      <c r="Q104" s="310">
        <f>G104*L104</f>
        <v>2195073.9999999995</v>
      </c>
      <c r="R104" s="310"/>
      <c r="S104" s="310"/>
      <c r="T104" s="298">
        <f>SUM(N104:Q104)</f>
        <v>2195073.9999999995</v>
      </c>
      <c r="U104" s="298">
        <f t="shared" si="52"/>
        <v>2195073.9999999995</v>
      </c>
      <c r="V104" s="298">
        <f t="shared" si="52"/>
        <v>2195073.9999999995</v>
      </c>
    </row>
    <row r="105" spans="1:29">
      <c r="A105" s="245"/>
      <c r="B105" s="245" t="s">
        <v>28</v>
      </c>
      <c r="C105" s="245" t="s">
        <v>220</v>
      </c>
      <c r="D105" s="294"/>
      <c r="E105" s="301"/>
      <c r="F105" s="301"/>
      <c r="G105" s="301">
        <v>136</v>
      </c>
      <c r="H105" s="301">
        <v>136</v>
      </c>
      <c r="I105" s="301">
        <v>136</v>
      </c>
      <c r="J105" s="298"/>
      <c r="K105" s="298"/>
      <c r="L105" s="310">
        <v>21348</v>
      </c>
      <c r="M105" s="298">
        <f t="shared" si="39"/>
        <v>21348</v>
      </c>
      <c r="N105" s="301"/>
      <c r="O105" s="298"/>
      <c r="P105" s="301"/>
      <c r="Q105" s="310"/>
      <c r="R105" s="310"/>
      <c r="S105" s="310">
        <f>G105*L105</f>
        <v>2903328</v>
      </c>
      <c r="T105" s="298">
        <f>S105</f>
        <v>2903328</v>
      </c>
      <c r="U105" s="298">
        <f>S105</f>
        <v>2903328</v>
      </c>
      <c r="V105" s="298">
        <f>S105</f>
        <v>2903328</v>
      </c>
    </row>
    <row r="106" spans="1:29" ht="30" customHeight="1">
      <c r="A106" s="297" t="s">
        <v>68</v>
      </c>
      <c r="B106" s="297"/>
      <c r="C106" s="297"/>
      <c r="D106" s="303"/>
      <c r="E106" s="304"/>
      <c r="F106" s="304"/>
      <c r="G106" s="304"/>
      <c r="H106" s="304"/>
      <c r="I106" s="304"/>
      <c r="J106" s="300"/>
      <c r="K106" s="298"/>
      <c r="L106" s="312"/>
      <c r="M106" s="298">
        <f t="shared" si="39"/>
        <v>0</v>
      </c>
      <c r="N106" s="312">
        <f>N107+N113</f>
        <v>8547462.8599999994</v>
      </c>
      <c r="O106" s="312">
        <f>O107+O113</f>
        <v>1627119.1199999999</v>
      </c>
      <c r="P106" s="317"/>
      <c r="Q106" s="312">
        <f>Q107+Q113</f>
        <v>8554420.6400000006</v>
      </c>
      <c r="R106" s="312"/>
      <c r="S106" s="312">
        <f>S114</f>
        <v>2903328</v>
      </c>
      <c r="T106" s="312">
        <f>T107+T113+T114</f>
        <v>21632330.620000001</v>
      </c>
      <c r="U106" s="300">
        <f>U107+U113+U114</f>
        <v>21632330.620000001</v>
      </c>
      <c r="V106" s="300">
        <f>V107+V113+V114</f>
        <v>21632330.620000001</v>
      </c>
      <c r="W106" s="224">
        <v>7637084.2800000003</v>
      </c>
      <c r="X106" s="236">
        <f>W106-Q106</f>
        <v>-917336.36000000034</v>
      </c>
      <c r="Y106" s="224">
        <f>X106/G113</f>
        <v>-6845.7937313432858</v>
      </c>
      <c r="AA106" s="224">
        <v>7421318.2800000003</v>
      </c>
      <c r="AB106" s="236">
        <f>AA106-Q106</f>
        <v>-1133102.3600000003</v>
      </c>
      <c r="AC106" s="224">
        <f>AB106/I113</f>
        <v>-8331.635000000002</v>
      </c>
    </row>
    <row r="107" spans="1:29" ht="94.95" customHeight="1">
      <c r="A107" s="228" t="s">
        <v>246</v>
      </c>
      <c r="B107" s="240" t="s">
        <v>76</v>
      </c>
      <c r="C107" s="240"/>
      <c r="D107" s="294"/>
      <c r="E107" s="301"/>
      <c r="F107" s="301"/>
      <c r="G107" s="301"/>
      <c r="H107" s="301"/>
      <c r="I107" s="301"/>
      <c r="J107" s="298"/>
      <c r="K107" s="298"/>
      <c r="L107" s="310"/>
      <c r="M107" s="298">
        <f t="shared" si="39"/>
        <v>0</v>
      </c>
      <c r="N107" s="298">
        <f>SUM(N108:N114)</f>
        <v>8547462.8599999994</v>
      </c>
      <c r="O107" s="298">
        <f>SUM(O108:O114)</f>
        <v>1627119.1199999999</v>
      </c>
      <c r="P107" s="301"/>
      <c r="Q107" s="310">
        <f>SUM(Q108:Q110)</f>
        <v>6297592.6399999997</v>
      </c>
      <c r="R107" s="310"/>
      <c r="S107" s="310"/>
      <c r="T107" s="298">
        <f>SUM(T108:T112)</f>
        <v>16472174.620000001</v>
      </c>
      <c r="U107" s="298">
        <f>SUM(U108:U112)</f>
        <v>16472174.620000001</v>
      </c>
      <c r="V107" s="298">
        <f>SUM(V108:V112)</f>
        <v>16472174.620000001</v>
      </c>
      <c r="W107" s="236">
        <v>18749103.280000001</v>
      </c>
      <c r="Y107" s="236"/>
      <c r="AA107" s="236">
        <f>18749103.28+U114</f>
        <v>21652431.280000001</v>
      </c>
      <c r="AB107" s="236">
        <f>U106-AA107</f>
        <v>-20100.660000000149</v>
      </c>
    </row>
    <row r="108" spans="1:29" ht="49.5" customHeight="1">
      <c r="A108" s="228"/>
      <c r="B108" s="245" t="s">
        <v>266</v>
      </c>
      <c r="C108" s="471" t="s">
        <v>269</v>
      </c>
      <c r="D108" s="294" t="s">
        <v>20</v>
      </c>
      <c r="E108" s="301">
        <v>31</v>
      </c>
      <c r="F108" s="301">
        <v>37</v>
      </c>
      <c r="G108" s="301">
        <f t="shared" ref="G108:G110" si="53">(E108/12*8)+(F108/12*4)</f>
        <v>33</v>
      </c>
      <c r="H108" s="301">
        <v>40</v>
      </c>
      <c r="I108" s="301">
        <v>40</v>
      </c>
      <c r="J108" s="298">
        <f>45831</f>
        <v>45831</v>
      </c>
      <c r="K108" s="298">
        <f>(12142.68)</f>
        <v>12142.68</v>
      </c>
      <c r="L108" s="310">
        <v>46996.959999999999</v>
      </c>
      <c r="M108" s="298">
        <f t="shared" si="39"/>
        <v>104970.64</v>
      </c>
      <c r="N108" s="298">
        <f>G108*J108</f>
        <v>1512423</v>
      </c>
      <c r="O108" s="298">
        <f>G108*K108</f>
        <v>400708.44</v>
      </c>
      <c r="P108" s="301"/>
      <c r="Q108" s="310">
        <f>G108*L108</f>
        <v>1550899.68</v>
      </c>
      <c r="R108" s="310"/>
      <c r="S108" s="310"/>
      <c r="T108" s="298">
        <f>SUM(N108:Q108)</f>
        <v>3464031.12</v>
      </c>
      <c r="U108" s="298">
        <f t="shared" ref="U108:V110" si="54">T108</f>
        <v>3464031.12</v>
      </c>
      <c r="V108" s="298">
        <f t="shared" si="54"/>
        <v>3464031.12</v>
      </c>
    </row>
    <row r="109" spans="1:29" ht="54.75" customHeight="1">
      <c r="A109" s="245"/>
      <c r="B109" s="245" t="s">
        <v>264</v>
      </c>
      <c r="C109" s="473"/>
      <c r="D109" s="294" t="s">
        <v>20</v>
      </c>
      <c r="E109" s="301">
        <v>0</v>
      </c>
      <c r="F109" s="301">
        <v>0</v>
      </c>
      <c r="G109" s="301">
        <f t="shared" si="53"/>
        <v>0</v>
      </c>
      <c r="H109" s="301">
        <v>20</v>
      </c>
      <c r="I109" s="301">
        <v>20</v>
      </c>
      <c r="J109" s="298">
        <f>36323.51</f>
        <v>36323.51</v>
      </c>
      <c r="K109" s="298">
        <f>(12142.68)</f>
        <v>12142.68</v>
      </c>
      <c r="L109" s="310">
        <v>46996.959999999999</v>
      </c>
      <c r="M109" s="298">
        <f t="shared" si="39"/>
        <v>95463.15</v>
      </c>
      <c r="N109" s="298">
        <f>G109*J109</f>
        <v>0</v>
      </c>
      <c r="O109" s="298">
        <f>G109*K109</f>
        <v>0</v>
      </c>
      <c r="P109" s="301"/>
      <c r="Q109" s="310">
        <f>G109*L109</f>
        <v>0</v>
      </c>
      <c r="R109" s="310"/>
      <c r="S109" s="310"/>
      <c r="T109" s="298">
        <f>SUM(N109:Q109)</f>
        <v>0</v>
      </c>
      <c r="U109" s="298">
        <f t="shared" si="54"/>
        <v>0</v>
      </c>
      <c r="V109" s="298">
        <f t="shared" si="54"/>
        <v>0</v>
      </c>
      <c r="X109" s="236">
        <f>W107-U106</f>
        <v>-2883227.34</v>
      </c>
    </row>
    <row r="110" spans="1:29" ht="133.5" customHeight="1">
      <c r="A110" s="245"/>
      <c r="B110" s="245" t="s">
        <v>264</v>
      </c>
      <c r="C110" s="228" t="s">
        <v>268</v>
      </c>
      <c r="D110" s="294" t="s">
        <v>20</v>
      </c>
      <c r="E110" s="301">
        <v>106</v>
      </c>
      <c r="F110" s="301">
        <v>91</v>
      </c>
      <c r="G110" s="301">
        <f t="shared" si="53"/>
        <v>101</v>
      </c>
      <c r="H110" s="301">
        <v>76</v>
      </c>
      <c r="I110" s="301">
        <v>76</v>
      </c>
      <c r="J110" s="302">
        <f>69653.86</f>
        <v>69653.86</v>
      </c>
      <c r="K110" s="298">
        <f>(12142.68)</f>
        <v>12142.68</v>
      </c>
      <c r="L110" s="310">
        <v>46996.959999999999</v>
      </c>
      <c r="M110" s="298">
        <f t="shared" si="39"/>
        <v>128793.5</v>
      </c>
      <c r="N110" s="298">
        <f>G110*J110</f>
        <v>7035039.8600000003</v>
      </c>
      <c r="O110" s="298">
        <f>G110*K110</f>
        <v>1226410.68</v>
      </c>
      <c r="P110" s="301"/>
      <c r="Q110" s="310">
        <f>G110*L110</f>
        <v>4746692.96</v>
      </c>
      <c r="R110" s="310"/>
      <c r="S110" s="310"/>
      <c r="T110" s="298">
        <f>SUM(N110:Q110)</f>
        <v>13008143.5</v>
      </c>
      <c r="U110" s="298">
        <f t="shared" si="54"/>
        <v>13008143.5</v>
      </c>
      <c r="V110" s="298">
        <f t="shared" si="54"/>
        <v>13008143.5</v>
      </c>
    </row>
    <row r="111" spans="1:29" ht="45.75" hidden="1" customHeight="1">
      <c r="A111" s="245"/>
      <c r="B111" s="240" t="s">
        <v>253</v>
      </c>
      <c r="C111" s="245" t="s">
        <v>226</v>
      </c>
      <c r="D111" s="294"/>
      <c r="E111" s="301"/>
      <c r="F111" s="301"/>
      <c r="G111" s="301"/>
      <c r="H111" s="301"/>
      <c r="I111" s="301"/>
      <c r="J111" s="298"/>
      <c r="K111" s="298">
        <f t="shared" ref="K111:K112" si="55">(12142.68*2.133649)</f>
        <v>25908.217039320003</v>
      </c>
      <c r="L111" s="310"/>
      <c r="M111" s="298">
        <f t="shared" si="39"/>
        <v>25908.217039320003</v>
      </c>
      <c r="N111" s="301"/>
      <c r="O111" s="298"/>
      <c r="P111" s="301"/>
      <c r="Q111" s="310"/>
      <c r="R111" s="310"/>
      <c r="S111" s="310"/>
      <c r="T111" s="298">
        <f>N111</f>
        <v>0</v>
      </c>
      <c r="U111" s="298">
        <f t="shared" ref="U111:V113" si="56">T111</f>
        <v>0</v>
      </c>
      <c r="V111" s="298">
        <f t="shared" si="56"/>
        <v>0</v>
      </c>
    </row>
    <row r="112" spans="1:29" hidden="1">
      <c r="A112" s="245"/>
      <c r="B112" s="240" t="s">
        <v>256</v>
      </c>
      <c r="C112" s="245"/>
      <c r="D112" s="294"/>
      <c r="E112" s="301"/>
      <c r="F112" s="301"/>
      <c r="G112" s="301"/>
      <c r="H112" s="301"/>
      <c r="I112" s="301"/>
      <c r="J112" s="298"/>
      <c r="K112" s="298">
        <f t="shared" si="55"/>
        <v>25908.217039320003</v>
      </c>
      <c r="L112" s="310"/>
      <c r="M112" s="298">
        <f t="shared" si="39"/>
        <v>25908.217039320003</v>
      </c>
      <c r="N112" s="301"/>
      <c r="O112" s="298"/>
      <c r="P112" s="301"/>
      <c r="Q112" s="310"/>
      <c r="R112" s="310"/>
      <c r="S112" s="310"/>
      <c r="T112" s="298">
        <f>O112</f>
        <v>0</v>
      </c>
      <c r="U112" s="298">
        <f>T112</f>
        <v>0</v>
      </c>
      <c r="V112" s="298">
        <f>U112</f>
        <v>0</v>
      </c>
    </row>
    <row r="113" spans="1:29" ht="64.5" customHeight="1">
      <c r="A113" s="228" t="s">
        <v>247</v>
      </c>
      <c r="B113" s="245" t="s">
        <v>28</v>
      </c>
      <c r="C113" s="245" t="s">
        <v>219</v>
      </c>
      <c r="D113" s="294" t="s">
        <v>20</v>
      </c>
      <c r="E113" s="301">
        <f>E110+E109+E108</f>
        <v>137</v>
      </c>
      <c r="F113" s="301">
        <f>F110+F109+F108</f>
        <v>128</v>
      </c>
      <c r="G113" s="301">
        <f>G110+G109+G108</f>
        <v>134</v>
      </c>
      <c r="H113" s="301">
        <f>H110+H109+H108</f>
        <v>136</v>
      </c>
      <c r="I113" s="301">
        <f>I110+I109+I108</f>
        <v>136</v>
      </c>
      <c r="J113" s="298"/>
      <c r="K113" s="298"/>
      <c r="L113" s="310">
        <v>16842</v>
      </c>
      <c r="M113" s="298">
        <f t="shared" si="39"/>
        <v>16842</v>
      </c>
      <c r="N113" s="301">
        <f>G113*J113</f>
        <v>0</v>
      </c>
      <c r="O113" s="298">
        <f>G113*K113</f>
        <v>0</v>
      </c>
      <c r="P113" s="301"/>
      <c r="Q113" s="310">
        <f>G113*L113</f>
        <v>2256828</v>
      </c>
      <c r="R113" s="310"/>
      <c r="S113" s="310"/>
      <c r="T113" s="298">
        <f>SUM(N113:Q113)</f>
        <v>2256828</v>
      </c>
      <c r="U113" s="298">
        <f t="shared" si="56"/>
        <v>2256828</v>
      </c>
      <c r="V113" s="298">
        <f t="shared" si="56"/>
        <v>2256828</v>
      </c>
    </row>
    <row r="114" spans="1:29" ht="20.399999999999999" customHeight="1">
      <c r="A114" s="245"/>
      <c r="B114" s="245" t="s">
        <v>28</v>
      </c>
      <c r="C114" s="245" t="s">
        <v>220</v>
      </c>
      <c r="D114" s="294"/>
      <c r="E114" s="301"/>
      <c r="F114" s="301"/>
      <c r="G114" s="301">
        <v>136</v>
      </c>
      <c r="H114" s="301">
        <v>136</v>
      </c>
      <c r="I114" s="301">
        <v>136</v>
      </c>
      <c r="J114" s="298"/>
      <c r="K114" s="298"/>
      <c r="L114" s="310">
        <v>21348</v>
      </c>
      <c r="M114" s="298">
        <f t="shared" si="39"/>
        <v>21348</v>
      </c>
      <c r="N114" s="301"/>
      <c r="O114" s="298"/>
      <c r="P114" s="301"/>
      <c r="Q114" s="310"/>
      <c r="R114" s="310"/>
      <c r="S114" s="310">
        <f>G114*L114</f>
        <v>2903328</v>
      </c>
      <c r="T114" s="298">
        <f>S114</f>
        <v>2903328</v>
      </c>
      <c r="U114" s="298">
        <f>S114</f>
        <v>2903328</v>
      </c>
      <c r="V114" s="298">
        <f>S114</f>
        <v>2903328</v>
      </c>
    </row>
    <row r="115" spans="1:29" s="250" customFormat="1" ht="25.95" customHeight="1">
      <c r="A115" s="297" t="s">
        <v>71</v>
      </c>
      <c r="B115" s="297"/>
      <c r="C115" s="297"/>
      <c r="D115" s="303"/>
      <c r="E115" s="304"/>
      <c r="F115" s="304"/>
      <c r="G115" s="304"/>
      <c r="H115" s="304"/>
      <c r="I115" s="304"/>
      <c r="J115" s="300"/>
      <c r="K115" s="298"/>
      <c r="L115" s="312"/>
      <c r="M115" s="298">
        <f t="shared" si="39"/>
        <v>0</v>
      </c>
      <c r="N115" s="312">
        <f>N116+N122</f>
        <v>15358869.046666667</v>
      </c>
      <c r="O115" s="312">
        <f>O116+O122</f>
        <v>2809006.64</v>
      </c>
      <c r="P115" s="312"/>
      <c r="Q115" s="312">
        <f>Q116+Q122+Q119</f>
        <v>14768079.413333332</v>
      </c>
      <c r="R115" s="312"/>
      <c r="S115" s="312">
        <f>S123</f>
        <v>4931388</v>
      </c>
      <c r="T115" s="312">
        <f>T116+T122+T123</f>
        <v>37867343.099999994</v>
      </c>
      <c r="U115" s="300">
        <f>U116+U122+U123</f>
        <v>37861729.099999994</v>
      </c>
      <c r="V115" s="300">
        <f>V116+V122+V123</f>
        <v>37861729.099999994</v>
      </c>
      <c r="W115" s="250">
        <v>12135022</v>
      </c>
      <c r="X115" s="251">
        <f>W115-Q115</f>
        <v>-2633057.4133333322</v>
      </c>
      <c r="Y115" s="250">
        <f>X115/G122</f>
        <v>-11382.092564841494</v>
      </c>
      <c r="AA115" s="250">
        <v>12524345</v>
      </c>
      <c r="AB115" s="251">
        <f>AA115-Q115</f>
        <v>-2243734.4133333322</v>
      </c>
      <c r="AC115" s="250">
        <f>AB115/I122</f>
        <v>-9713.1359884559843</v>
      </c>
    </row>
    <row r="116" spans="1:29" ht="85.5" customHeight="1">
      <c r="A116" s="228" t="s">
        <v>246</v>
      </c>
      <c r="B116" s="240" t="s">
        <v>76</v>
      </c>
      <c r="C116" s="240"/>
      <c r="D116" s="294"/>
      <c r="E116" s="301"/>
      <c r="F116" s="301"/>
      <c r="G116" s="301"/>
      <c r="H116" s="301"/>
      <c r="I116" s="301"/>
      <c r="J116" s="298"/>
      <c r="K116" s="298"/>
      <c r="L116" s="310"/>
      <c r="M116" s="298">
        <f t="shared" si="39"/>
        <v>0</v>
      </c>
      <c r="N116" s="298">
        <f>SUM(N117:N123)</f>
        <v>15358869.046666667</v>
      </c>
      <c r="O116" s="298">
        <f>SUM(O117:O123)</f>
        <v>2809006.64</v>
      </c>
      <c r="P116" s="298"/>
      <c r="Q116" s="310">
        <f>SUM(Q117:Q118)</f>
        <v>10871963.413333332</v>
      </c>
      <c r="R116" s="310"/>
      <c r="S116" s="310"/>
      <c r="T116" s="298">
        <f>SUM(T117:T121)</f>
        <v>29039839.099999998</v>
      </c>
      <c r="U116" s="298">
        <f>SUM(U117:U121)</f>
        <v>29039839.099999998</v>
      </c>
      <c r="V116" s="298">
        <f>SUM(V117:V121)</f>
        <v>29039839.099999998</v>
      </c>
      <c r="W116" s="236">
        <v>33911273</v>
      </c>
      <c r="AA116" s="236">
        <f>33911273+U123</f>
        <v>38842661</v>
      </c>
      <c r="AB116" s="236">
        <f>U115-AA116</f>
        <v>-980931.90000000596</v>
      </c>
    </row>
    <row r="117" spans="1:29" ht="96.6">
      <c r="A117" s="228"/>
      <c r="B117" s="245" t="s">
        <v>266</v>
      </c>
      <c r="C117" s="228" t="s">
        <v>273</v>
      </c>
      <c r="D117" s="294" t="s">
        <v>20</v>
      </c>
      <c r="E117" s="301">
        <v>31</v>
      </c>
      <c r="F117" s="301">
        <v>33</v>
      </c>
      <c r="G117" s="301">
        <f t="shared" ref="G117:G118" si="57">(E117/12*8)+(F117/12*4)</f>
        <v>31.666666666666668</v>
      </c>
      <c r="H117" s="301">
        <v>40</v>
      </c>
      <c r="I117" s="301">
        <v>40</v>
      </c>
      <c r="J117" s="298">
        <f>45831</f>
        <v>45831</v>
      </c>
      <c r="K117" s="298">
        <f>(12142.68)</f>
        <v>12142.68</v>
      </c>
      <c r="L117" s="310">
        <v>46996.959999999999</v>
      </c>
      <c r="M117" s="298">
        <f t="shared" si="39"/>
        <v>104970.64</v>
      </c>
      <c r="N117" s="298">
        <f>G117*J117</f>
        <v>1451315</v>
      </c>
      <c r="O117" s="298">
        <f>G117*K117</f>
        <v>384518.2</v>
      </c>
      <c r="P117" s="301"/>
      <c r="Q117" s="310">
        <f>G117*L117</f>
        <v>1488237.0666666667</v>
      </c>
      <c r="R117" s="310"/>
      <c r="S117" s="310"/>
      <c r="T117" s="298">
        <f t="shared" ref="T117:T122" si="58">SUM(N117:Q117)</f>
        <v>3324070.2666666666</v>
      </c>
      <c r="U117" s="298">
        <f>T117</f>
        <v>3324070.2666666666</v>
      </c>
      <c r="V117" s="298">
        <f t="shared" ref="V117:V122" si="59">U117</f>
        <v>3324070.2666666666</v>
      </c>
      <c r="X117" s="236">
        <f>W116-U115</f>
        <v>-3950456.099999994</v>
      </c>
    </row>
    <row r="118" spans="1:29" ht="138.75" customHeight="1">
      <c r="A118" s="245"/>
      <c r="B118" s="245" t="s">
        <v>264</v>
      </c>
      <c r="C118" s="228" t="s">
        <v>275</v>
      </c>
      <c r="D118" s="294" t="s">
        <v>20</v>
      </c>
      <c r="E118" s="301">
        <v>199</v>
      </c>
      <c r="F118" s="301">
        <v>201</v>
      </c>
      <c r="G118" s="301">
        <f t="shared" si="57"/>
        <v>199.66666666666666</v>
      </c>
      <c r="H118" s="301">
        <v>191</v>
      </c>
      <c r="I118" s="301">
        <v>191</v>
      </c>
      <c r="J118" s="302">
        <v>69653.86</v>
      </c>
      <c r="K118" s="298">
        <f t="shared" ref="K118:K120" si="60">(12142.68)</f>
        <v>12142.68</v>
      </c>
      <c r="L118" s="310">
        <v>46996.959999999999</v>
      </c>
      <c r="M118" s="298">
        <f t="shared" si="39"/>
        <v>128793.5</v>
      </c>
      <c r="N118" s="298">
        <f>G118*J118</f>
        <v>13907554.046666667</v>
      </c>
      <c r="O118" s="298">
        <f>G118*K118</f>
        <v>2424488.44</v>
      </c>
      <c r="P118" s="301"/>
      <c r="Q118" s="310">
        <f>G118*L118</f>
        <v>9383726.3466666657</v>
      </c>
      <c r="R118" s="310"/>
      <c r="S118" s="310"/>
      <c r="T118" s="298">
        <f t="shared" si="58"/>
        <v>25715768.833333332</v>
      </c>
      <c r="U118" s="298">
        <f>T118</f>
        <v>25715768.833333332</v>
      </c>
      <c r="V118" s="298">
        <f t="shared" si="59"/>
        <v>25715768.833333332</v>
      </c>
    </row>
    <row r="119" spans="1:29" s="225" customFormat="1" hidden="1">
      <c r="A119" s="294"/>
      <c r="B119" s="303" t="s">
        <v>258</v>
      </c>
      <c r="C119" s="294" t="s">
        <v>219</v>
      </c>
      <c r="D119" s="294"/>
      <c r="E119" s="301"/>
      <c r="F119" s="301"/>
      <c r="G119" s="301"/>
      <c r="H119" s="301"/>
      <c r="I119" s="301"/>
      <c r="J119" s="298"/>
      <c r="K119" s="298">
        <f t="shared" si="60"/>
        <v>12142.68</v>
      </c>
      <c r="L119" s="310"/>
      <c r="M119" s="298">
        <f t="shared" si="39"/>
        <v>12142.68</v>
      </c>
      <c r="N119" s="301"/>
      <c r="O119" s="298"/>
      <c r="P119" s="301"/>
      <c r="Q119" s="310"/>
      <c r="R119" s="310"/>
      <c r="S119" s="310"/>
      <c r="T119" s="298">
        <f>Q119</f>
        <v>0</v>
      </c>
      <c r="U119" s="298">
        <f>T119</f>
        <v>0</v>
      </c>
      <c r="V119" s="298">
        <f t="shared" si="59"/>
        <v>0</v>
      </c>
    </row>
    <row r="120" spans="1:29" ht="43.5" hidden="1" customHeight="1">
      <c r="A120" s="245"/>
      <c r="B120" s="240" t="s">
        <v>253</v>
      </c>
      <c r="C120" s="245" t="s">
        <v>226</v>
      </c>
      <c r="D120" s="294"/>
      <c r="E120" s="301"/>
      <c r="F120" s="301"/>
      <c r="G120" s="301"/>
      <c r="H120" s="301"/>
      <c r="I120" s="301"/>
      <c r="J120" s="298"/>
      <c r="K120" s="298">
        <f t="shared" si="60"/>
        <v>12142.68</v>
      </c>
      <c r="L120" s="310"/>
      <c r="M120" s="298">
        <f t="shared" si="39"/>
        <v>12142.68</v>
      </c>
      <c r="N120" s="301"/>
      <c r="O120" s="298"/>
      <c r="P120" s="301"/>
      <c r="Q120" s="310"/>
      <c r="R120" s="310"/>
      <c r="S120" s="310"/>
      <c r="T120" s="298">
        <f>N120</f>
        <v>0</v>
      </c>
      <c r="U120" s="298">
        <f>T120</f>
        <v>0</v>
      </c>
      <c r="V120" s="298">
        <f t="shared" si="59"/>
        <v>0</v>
      </c>
    </row>
    <row r="121" spans="1:29" ht="18.75" hidden="1" customHeight="1">
      <c r="A121" s="245"/>
      <c r="B121" s="240" t="s">
        <v>256</v>
      </c>
      <c r="C121" s="245"/>
      <c r="D121" s="294"/>
      <c r="E121" s="301"/>
      <c r="F121" s="301"/>
      <c r="G121" s="301"/>
      <c r="H121" s="301"/>
      <c r="I121" s="301"/>
      <c r="J121" s="298"/>
      <c r="K121" s="298">
        <f t="shared" ref="K121" si="61">(12142.68*1.802017)+6356.14+938.636+149.97-0.09377-158.3333</f>
        <v>29167.634715560001</v>
      </c>
      <c r="L121" s="310"/>
      <c r="M121" s="298">
        <f t="shared" si="39"/>
        <v>29167.634715560001</v>
      </c>
      <c r="N121" s="301"/>
      <c r="O121" s="298"/>
      <c r="P121" s="301"/>
      <c r="Q121" s="310"/>
      <c r="R121" s="310"/>
      <c r="S121" s="310"/>
      <c r="T121" s="298">
        <f>O121</f>
        <v>0</v>
      </c>
      <c r="U121" s="298">
        <f>T121</f>
        <v>0</v>
      </c>
      <c r="V121" s="298">
        <f t="shared" si="59"/>
        <v>0</v>
      </c>
    </row>
    <row r="122" spans="1:29" ht="62.25" customHeight="1">
      <c r="A122" s="228" t="s">
        <v>247</v>
      </c>
      <c r="B122" s="245" t="s">
        <v>28</v>
      </c>
      <c r="C122" s="245" t="s">
        <v>219</v>
      </c>
      <c r="D122" s="294" t="s">
        <v>20</v>
      </c>
      <c r="E122" s="301">
        <f>E117+E118</f>
        <v>230</v>
      </c>
      <c r="F122" s="301">
        <f t="shared" ref="F122:G122" si="62">F117+F118</f>
        <v>234</v>
      </c>
      <c r="G122" s="301">
        <f t="shared" si="62"/>
        <v>231.33333333333331</v>
      </c>
      <c r="H122" s="301">
        <f>H117+H118</f>
        <v>231</v>
      </c>
      <c r="I122" s="301">
        <f>I117+I118</f>
        <v>231</v>
      </c>
      <c r="J122" s="298"/>
      <c r="K122" s="298"/>
      <c r="L122" s="310">
        <v>16842</v>
      </c>
      <c r="M122" s="298">
        <f t="shared" si="39"/>
        <v>16842</v>
      </c>
      <c r="N122" s="301"/>
      <c r="O122" s="298">
        <f>G122*K122</f>
        <v>0</v>
      </c>
      <c r="P122" s="301"/>
      <c r="Q122" s="310">
        <f>G122*L122</f>
        <v>3896115.9999999995</v>
      </c>
      <c r="R122" s="310"/>
      <c r="S122" s="310"/>
      <c r="T122" s="298">
        <f t="shared" si="58"/>
        <v>3896115.9999999995</v>
      </c>
      <c r="U122" s="298">
        <f>H122*M122</f>
        <v>3890502</v>
      </c>
      <c r="V122" s="298">
        <f t="shared" si="59"/>
        <v>3890502</v>
      </c>
    </row>
    <row r="123" spans="1:29" ht="21.6" customHeight="1">
      <c r="A123" s="245"/>
      <c r="B123" s="245" t="s">
        <v>28</v>
      </c>
      <c r="C123" s="245" t="s">
        <v>220</v>
      </c>
      <c r="D123" s="294"/>
      <c r="E123" s="301"/>
      <c r="F123" s="301"/>
      <c r="G123" s="301">
        <v>231</v>
      </c>
      <c r="H123" s="301">
        <v>231</v>
      </c>
      <c r="I123" s="301">
        <v>231</v>
      </c>
      <c r="J123" s="298"/>
      <c r="K123" s="298"/>
      <c r="L123" s="310">
        <v>21348</v>
      </c>
      <c r="M123" s="298">
        <f t="shared" si="39"/>
        <v>21348</v>
      </c>
      <c r="N123" s="301"/>
      <c r="O123" s="298"/>
      <c r="P123" s="301"/>
      <c r="Q123" s="310"/>
      <c r="R123" s="310"/>
      <c r="S123" s="310">
        <f>G123*L123</f>
        <v>4931388</v>
      </c>
      <c r="T123" s="298">
        <f>S123</f>
        <v>4931388</v>
      </c>
      <c r="U123" s="298">
        <f>S123</f>
        <v>4931388</v>
      </c>
      <c r="V123" s="298">
        <f>S123</f>
        <v>4931388</v>
      </c>
    </row>
    <row r="124" spans="1:29" ht="22.2" customHeight="1">
      <c r="A124" s="467" t="s">
        <v>232</v>
      </c>
      <c r="B124" s="468"/>
      <c r="C124" s="468"/>
      <c r="D124" s="468"/>
      <c r="E124" s="468"/>
      <c r="F124" s="468"/>
      <c r="G124" s="468"/>
      <c r="H124" s="468"/>
      <c r="I124" s="468"/>
      <c r="J124" s="468"/>
      <c r="K124" s="468"/>
      <c r="L124" s="468"/>
      <c r="M124" s="469"/>
      <c r="N124" s="300">
        <f>N13+N24+N35+N46+N57+N66+N78+N89+N100+N106+N115</f>
        <v>108843886.96666665</v>
      </c>
      <c r="O124" s="300">
        <f>O13+O24+O35+O46+O57+O66+O78+O89+O100+O106+O115</f>
        <v>19027579.559999999</v>
      </c>
      <c r="P124" s="300">
        <f>P13+P24+P35+P46+P57+P66+P78+P89+P100+P106+P115+1</f>
        <v>1</v>
      </c>
      <c r="Q124" s="312">
        <f>Q13+Q24+Q35+Q46+Q57+Q66+Q78+Q89+Q100+Q106+Q115</f>
        <v>102516042.42999998</v>
      </c>
      <c r="R124" s="312">
        <f>R13+R24+R35+R46+R57+R66+R78+R89+R100+R106+R115+1</f>
        <v>1</v>
      </c>
      <c r="S124" s="312">
        <f>S13+S24+S35+S46+S57+S66+S78+S89+S100+S106+S115</f>
        <v>34519716</v>
      </c>
      <c r="T124" s="300">
        <f>T13+T24+T35+T46+T57+T66+T78+T89+T100+T106+T115</f>
        <v>264907224.95666668</v>
      </c>
      <c r="U124" s="300">
        <f>U13+U24+U35+U46+U57+U66+U78+U89+U100+U106+U115</f>
        <v>258638322.58000001</v>
      </c>
      <c r="V124" s="300">
        <f>V13+V24+V35+V46+V57+V66+V78+V89+V100+V106+V115</f>
        <v>258638322.58000001</v>
      </c>
      <c r="W124" s="236"/>
    </row>
    <row r="125" spans="1:29">
      <c r="A125" s="224" t="s">
        <v>281</v>
      </c>
      <c r="C125" s="252"/>
      <c r="D125" s="253"/>
      <c r="E125" s="253"/>
      <c r="F125" s="253"/>
      <c r="G125" s="253"/>
      <c r="H125" s="253"/>
      <c r="I125" s="253"/>
      <c r="J125" s="253"/>
      <c r="K125" s="253"/>
      <c r="L125" s="252"/>
      <c r="M125" s="253"/>
      <c r="N125" s="254"/>
      <c r="O125" s="254"/>
      <c r="P125" s="254"/>
      <c r="Q125" s="313"/>
      <c r="R125" s="313"/>
      <c r="S125" s="313"/>
      <c r="T125" s="254"/>
      <c r="U125" s="253"/>
      <c r="V125" s="254"/>
    </row>
    <row r="126" spans="1:29">
      <c r="A126" s="224" t="s">
        <v>178</v>
      </c>
      <c r="N126" s="277"/>
      <c r="P126" s="255"/>
      <c r="Q126" s="236"/>
      <c r="U126" s="255"/>
      <c r="V126" s="254"/>
    </row>
    <row r="127" spans="1:29">
      <c r="N127" s="253"/>
      <c r="Q127" s="236"/>
      <c r="S127" s="236"/>
      <c r="T127" s="255"/>
      <c r="U127" s="255"/>
    </row>
    <row r="128" spans="1:29">
      <c r="N128" s="255"/>
      <c r="Q128" s="236"/>
      <c r="S128" s="236"/>
      <c r="T128" s="255"/>
      <c r="U128" s="255"/>
      <c r="V128" s="255"/>
    </row>
    <row r="129" spans="1:26">
      <c r="N129" s="255"/>
      <c r="O129" s="255"/>
      <c r="Q129" s="236"/>
      <c r="R129" s="236"/>
      <c r="S129" s="236"/>
      <c r="U129" s="255"/>
      <c r="V129" s="255"/>
    </row>
    <row r="130" spans="1:26">
      <c r="O130" s="255"/>
      <c r="Q130" s="236"/>
      <c r="T130" s="255"/>
    </row>
    <row r="131" spans="1:26">
      <c r="N131" s="255"/>
      <c r="Q131" s="236"/>
      <c r="U131" s="255"/>
    </row>
    <row r="132" spans="1:26" s="225" customFormat="1" hidden="1">
      <c r="A132" s="224"/>
      <c r="B132" s="224"/>
      <c r="C132" s="224"/>
      <c r="L132" s="224"/>
      <c r="Q132" s="236"/>
      <c r="R132" s="224"/>
      <c r="S132" s="224"/>
      <c r="W132" s="224"/>
      <c r="X132" s="224"/>
      <c r="Y132" s="224"/>
    </row>
    <row r="133" spans="1:26" hidden="1"/>
    <row r="134" spans="1:26" hidden="1"/>
    <row r="135" spans="1:26" ht="193.2" hidden="1">
      <c r="B135" s="256"/>
      <c r="C135" s="245" t="s">
        <v>266</v>
      </c>
      <c r="D135" s="229" t="s">
        <v>264</v>
      </c>
      <c r="E135" s="257" t="s">
        <v>263</v>
      </c>
      <c r="F135" s="258"/>
      <c r="G135" s="257" t="s">
        <v>263</v>
      </c>
      <c r="H135" s="229" t="s">
        <v>264</v>
      </c>
      <c r="I135" s="229" t="s">
        <v>265</v>
      </c>
      <c r="J135" s="235" t="s">
        <v>309</v>
      </c>
      <c r="K135" s="235" t="s">
        <v>286</v>
      </c>
      <c r="L135" s="228" t="s">
        <v>181</v>
      </c>
      <c r="M135" s="229" t="s">
        <v>181</v>
      </c>
      <c r="N135" s="235"/>
      <c r="O135" s="259"/>
      <c r="P135" s="259"/>
      <c r="Q135" s="247"/>
      <c r="R135" s="256"/>
      <c r="S135" s="256"/>
      <c r="T135" s="259"/>
      <c r="U135" s="253"/>
      <c r="V135" s="253"/>
      <c r="W135" s="252"/>
      <c r="X135" s="252"/>
      <c r="Y135" s="252"/>
      <c r="Z135" s="252"/>
    </row>
    <row r="136" spans="1:26" hidden="1">
      <c r="A136" s="260">
        <v>4</v>
      </c>
      <c r="B136" s="261" t="s">
        <v>310</v>
      </c>
      <c r="C136" s="475" t="s">
        <v>304</v>
      </c>
      <c r="D136" s="476"/>
      <c r="E136" s="476"/>
      <c r="F136" s="476"/>
      <c r="G136" s="477"/>
      <c r="H136" s="234" t="s">
        <v>306</v>
      </c>
      <c r="I136" s="234" t="s">
        <v>307</v>
      </c>
      <c r="J136" s="478" t="s">
        <v>308</v>
      </c>
      <c r="K136" s="479"/>
      <c r="L136" s="245" t="s">
        <v>311</v>
      </c>
      <c r="M136" s="234" t="s">
        <v>312</v>
      </c>
      <c r="N136" s="278"/>
      <c r="O136" s="262"/>
      <c r="P136" s="262"/>
      <c r="Q136" s="314"/>
      <c r="R136" s="314"/>
      <c r="S136" s="315"/>
      <c r="T136" s="234"/>
      <c r="U136" s="263"/>
      <c r="V136" s="263"/>
      <c r="W136" s="252"/>
      <c r="X136" s="252"/>
      <c r="Y136" s="252"/>
      <c r="Z136" s="252"/>
    </row>
    <row r="137" spans="1:26" hidden="1">
      <c r="A137" s="260"/>
      <c r="B137" s="264" t="s">
        <v>305</v>
      </c>
      <c r="C137" s="247">
        <v>19</v>
      </c>
      <c r="D137" s="265">
        <v>60</v>
      </c>
      <c r="E137" s="265"/>
      <c r="F137" s="241"/>
      <c r="G137" s="265">
        <v>22</v>
      </c>
      <c r="H137" s="266">
        <v>17</v>
      </c>
      <c r="I137" s="266"/>
      <c r="J137" s="235"/>
      <c r="K137" s="276"/>
      <c r="L137" s="256"/>
      <c r="M137" s="259"/>
      <c r="N137" s="259"/>
      <c r="O137" s="259"/>
      <c r="P137" s="259"/>
      <c r="Q137" s="256"/>
      <c r="R137" s="316"/>
      <c r="S137" s="256"/>
      <c r="T137" s="259"/>
      <c r="U137" s="253"/>
      <c r="V137" s="253"/>
      <c r="W137" s="252"/>
      <c r="X137" s="252"/>
      <c r="Y137" s="252"/>
      <c r="Z137" s="252"/>
    </row>
    <row r="138" spans="1:26" hidden="1">
      <c r="A138" s="260"/>
      <c r="B138" s="242" t="s">
        <v>225</v>
      </c>
      <c r="C138" s="256"/>
      <c r="D138" s="259"/>
      <c r="E138" s="259"/>
      <c r="F138" s="259"/>
      <c r="G138" s="259"/>
      <c r="H138" s="268"/>
      <c r="I138" s="268"/>
      <c r="J138" s="268"/>
      <c r="K138" s="259"/>
      <c r="L138" s="256"/>
      <c r="M138" s="259"/>
      <c r="N138" s="267"/>
      <c r="O138" s="267"/>
      <c r="P138" s="259"/>
      <c r="Q138" s="316"/>
      <c r="R138" s="256"/>
      <c r="S138" s="316"/>
      <c r="T138" s="267"/>
      <c r="U138" s="253"/>
      <c r="V138" s="269"/>
      <c r="W138" s="252"/>
      <c r="X138" s="252"/>
      <c r="Y138" s="252"/>
      <c r="Z138" s="252"/>
    </row>
    <row r="139" spans="1:26" hidden="1">
      <c r="B139" s="242" t="s">
        <v>225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67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t="27.6" hidden="1">
      <c r="B140" s="228" t="s">
        <v>282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59"/>
      <c r="P140" s="259"/>
      <c r="Q140" s="256"/>
      <c r="R140" s="256"/>
      <c r="S140" s="256"/>
      <c r="T140" s="259"/>
      <c r="U140" s="253"/>
      <c r="V140" s="253"/>
      <c r="W140" s="252"/>
      <c r="X140" s="252"/>
      <c r="Y140" s="252"/>
      <c r="Z140" s="252"/>
    </row>
    <row r="141" spans="1:26" ht="55.2" hidden="1">
      <c r="B141" s="249" t="s">
        <v>287</v>
      </c>
      <c r="C141" s="256"/>
      <c r="D141" s="259"/>
      <c r="E141" s="259"/>
      <c r="F141" s="259"/>
      <c r="G141" s="259"/>
      <c r="H141" s="259"/>
      <c r="I141" s="259"/>
      <c r="J141" s="259"/>
      <c r="K141" s="259"/>
      <c r="L141" s="256"/>
      <c r="M141" s="259"/>
      <c r="N141" s="270"/>
      <c r="O141" s="259"/>
      <c r="P141" s="270"/>
      <c r="Q141" s="256"/>
      <c r="R141" s="256"/>
      <c r="S141" s="256"/>
      <c r="T141" s="259"/>
      <c r="U141" s="253"/>
      <c r="V141" s="253"/>
      <c r="W141" s="252"/>
      <c r="X141" s="252"/>
      <c r="Y141" s="252"/>
      <c r="Z141" s="252"/>
    </row>
    <row r="142" spans="1:26" ht="41.4" hidden="1">
      <c r="B142" s="249" t="s">
        <v>288</v>
      </c>
      <c r="C142" s="256"/>
      <c r="D142" s="259"/>
      <c r="E142" s="259"/>
      <c r="F142" s="259"/>
      <c r="G142" s="259"/>
      <c r="H142" s="259"/>
      <c r="I142" s="259"/>
      <c r="J142" s="259"/>
      <c r="K142" s="259"/>
      <c r="L142" s="256"/>
      <c r="M142" s="259"/>
      <c r="N142" s="267"/>
      <c r="O142" s="259"/>
      <c r="P142" s="259"/>
      <c r="Q142" s="256"/>
      <c r="R142" s="256"/>
      <c r="S142" s="316"/>
      <c r="T142" s="267"/>
      <c r="U142" s="253"/>
      <c r="V142" s="253"/>
      <c r="W142" s="252"/>
      <c r="X142" s="252"/>
      <c r="Y142" s="252"/>
      <c r="Z142" s="252"/>
    </row>
    <row r="143" spans="1:26" hidden="1">
      <c r="B143" s="271" t="s">
        <v>314</v>
      </c>
      <c r="C143" s="256"/>
      <c r="D143" s="259"/>
      <c r="E143" s="259"/>
      <c r="F143" s="259"/>
      <c r="G143" s="259"/>
      <c r="H143" s="259"/>
      <c r="I143" s="259"/>
      <c r="J143" s="259"/>
      <c r="K143" s="259"/>
      <c r="L143" s="256"/>
      <c r="M143" s="259"/>
      <c r="N143" s="267"/>
      <c r="O143" s="267"/>
      <c r="P143" s="267"/>
      <c r="Q143" s="316"/>
      <c r="R143" s="316"/>
      <c r="S143" s="316"/>
      <c r="T143" s="259"/>
      <c r="U143" s="253"/>
      <c r="V143" s="253"/>
      <c r="W143" s="252"/>
      <c r="X143" s="252"/>
      <c r="Y143" s="252"/>
      <c r="Z143" s="252"/>
    </row>
    <row r="144" spans="1:26" hidden="1">
      <c r="B144" s="272"/>
      <c r="C144" s="252"/>
      <c r="D144" s="253"/>
      <c r="E144" s="253"/>
      <c r="F144" s="253"/>
      <c r="G144" s="253"/>
      <c r="H144" s="253"/>
      <c r="I144" s="253"/>
      <c r="J144" s="253"/>
      <c r="K144" s="253"/>
      <c r="L144" s="252"/>
      <c r="M144" s="253"/>
      <c r="N144" s="254"/>
      <c r="O144" s="253"/>
      <c r="P144" s="253"/>
      <c r="Q144" s="252"/>
      <c r="R144" s="252"/>
    </row>
    <row r="145" spans="1:20" hidden="1">
      <c r="B145" s="272"/>
      <c r="C145" s="252"/>
      <c r="D145" s="253"/>
      <c r="E145" s="253"/>
      <c r="F145" s="253"/>
      <c r="G145" s="253"/>
      <c r="H145" s="253"/>
      <c r="I145" s="253"/>
      <c r="J145" s="253"/>
      <c r="K145" s="253"/>
      <c r="L145" s="252"/>
      <c r="M145" s="253"/>
      <c r="N145" s="254"/>
      <c r="O145" s="253"/>
      <c r="P145" s="253"/>
      <c r="Q145" s="252"/>
      <c r="R145" s="252"/>
    </row>
    <row r="146" spans="1:20" hidden="1">
      <c r="B146" s="261" t="s">
        <v>310</v>
      </c>
      <c r="C146" s="475" t="s">
        <v>304</v>
      </c>
      <c r="D146" s="476"/>
      <c r="E146" s="476"/>
      <c r="F146" s="476"/>
      <c r="G146" s="477"/>
      <c r="H146" s="234" t="s">
        <v>306</v>
      </c>
      <c r="I146" s="234" t="s">
        <v>307</v>
      </c>
      <c r="J146" s="478" t="s">
        <v>308</v>
      </c>
      <c r="K146" s="479"/>
      <c r="L146" s="245" t="s">
        <v>311</v>
      </c>
      <c r="M146" s="234" t="s">
        <v>312</v>
      </c>
      <c r="N146" s="235"/>
      <c r="O146" s="235"/>
      <c r="P146" s="234"/>
      <c r="Q146" s="245"/>
      <c r="R146" s="245"/>
      <c r="S146" s="315"/>
      <c r="T146" s="234"/>
    </row>
    <row r="147" spans="1:20" hidden="1">
      <c r="A147" s="260">
        <v>5</v>
      </c>
      <c r="B147" s="264" t="s">
        <v>305</v>
      </c>
      <c r="C147" s="247"/>
      <c r="D147" s="265"/>
      <c r="E147" s="265"/>
      <c r="F147" s="241"/>
      <c r="G147" s="265"/>
      <c r="H147" s="241"/>
      <c r="I147" s="241">
        <v>32</v>
      </c>
      <c r="J147" s="235"/>
      <c r="K147" s="276"/>
      <c r="L147" s="256"/>
      <c r="M147" s="259"/>
      <c r="N147" s="259"/>
      <c r="O147" s="259"/>
      <c r="P147" s="259"/>
      <c r="Q147" s="256"/>
      <c r="R147" s="316"/>
      <c r="S147" s="256"/>
      <c r="T147" s="259"/>
    </row>
    <row r="148" spans="1:20" hidden="1">
      <c r="B148" s="242" t="s">
        <v>225</v>
      </c>
      <c r="C148" s="256"/>
      <c r="D148" s="259"/>
      <c r="E148" s="259"/>
      <c r="F148" s="259"/>
      <c r="G148" s="259"/>
      <c r="H148" s="268"/>
      <c r="I148" s="268"/>
      <c r="J148" s="268"/>
      <c r="K148" s="259"/>
      <c r="L148" s="256"/>
      <c r="M148" s="259"/>
      <c r="N148" s="267"/>
      <c r="O148" s="267"/>
      <c r="P148" s="259"/>
      <c r="Q148" s="316"/>
      <c r="R148" s="316"/>
      <c r="S148" s="316"/>
      <c r="T148" s="267"/>
    </row>
    <row r="149" spans="1:20" hidden="1">
      <c r="B149" s="242" t="s">
        <v>225</v>
      </c>
      <c r="C149" s="256"/>
      <c r="D149" s="259"/>
      <c r="E149" s="259"/>
      <c r="F149" s="259"/>
      <c r="G149" s="259"/>
      <c r="H149" s="259"/>
      <c r="I149" s="259"/>
      <c r="J149" s="259"/>
      <c r="K149" s="259"/>
      <c r="L149" s="256"/>
      <c r="M149" s="259"/>
      <c r="N149" s="267"/>
      <c r="O149" s="267"/>
      <c r="P149" s="259"/>
      <c r="Q149" s="256"/>
      <c r="R149" s="256"/>
      <c r="S149" s="316"/>
      <c r="T149" s="267"/>
    </row>
    <row r="150" spans="1:20" ht="27.6" hidden="1">
      <c r="B150" s="228" t="s">
        <v>282</v>
      </c>
      <c r="C150" s="256"/>
      <c r="D150" s="259"/>
      <c r="E150" s="259"/>
      <c r="F150" s="259"/>
      <c r="G150" s="259"/>
      <c r="H150" s="259"/>
      <c r="I150" s="259"/>
      <c r="J150" s="259"/>
      <c r="K150" s="259"/>
      <c r="L150" s="256"/>
      <c r="M150" s="259"/>
      <c r="N150" s="267"/>
      <c r="O150" s="259"/>
      <c r="P150" s="259"/>
      <c r="Q150" s="256"/>
      <c r="R150" s="256"/>
      <c r="S150" s="256"/>
      <c r="T150" s="259"/>
    </row>
    <row r="151" spans="1:20" hidden="1">
      <c r="B151" s="271" t="s">
        <v>314</v>
      </c>
      <c r="C151" s="256"/>
      <c r="D151" s="259"/>
      <c r="E151" s="259"/>
      <c r="F151" s="259"/>
      <c r="G151" s="259"/>
      <c r="H151" s="259"/>
      <c r="I151" s="259"/>
      <c r="J151" s="259"/>
      <c r="K151" s="259"/>
      <c r="L151" s="256"/>
      <c r="M151" s="259"/>
      <c r="N151" s="267"/>
      <c r="O151" s="267"/>
      <c r="P151" s="267"/>
      <c r="Q151" s="316"/>
      <c r="R151" s="316"/>
      <c r="S151" s="316"/>
      <c r="T151" s="259"/>
    </row>
    <row r="152" spans="1:20" hidden="1">
      <c r="A152" s="252"/>
      <c r="B152" s="252"/>
      <c r="C152" s="252"/>
      <c r="D152" s="253"/>
      <c r="E152" s="253"/>
      <c r="F152" s="253"/>
      <c r="G152" s="253"/>
      <c r="H152" s="253"/>
      <c r="I152" s="253"/>
      <c r="J152" s="253"/>
      <c r="K152" s="253"/>
      <c r="L152" s="252"/>
      <c r="M152" s="253"/>
      <c r="N152" s="253"/>
      <c r="O152" s="253"/>
      <c r="P152" s="253"/>
      <c r="Q152" s="252"/>
      <c r="R152" s="252"/>
      <c r="S152" s="313"/>
      <c r="T152" s="254"/>
    </row>
    <row r="153" spans="1:20" hidden="1">
      <c r="A153" s="252"/>
      <c r="B153" s="252"/>
      <c r="C153" s="252"/>
      <c r="D153" s="253"/>
      <c r="E153" s="253"/>
      <c r="F153" s="253"/>
      <c r="G153" s="253"/>
      <c r="H153" s="253"/>
      <c r="I153" s="253"/>
      <c r="J153" s="253"/>
      <c r="K153" s="253"/>
      <c r="L153" s="252"/>
      <c r="M153" s="253"/>
      <c r="N153" s="253"/>
      <c r="O153" s="253"/>
      <c r="P153" s="253"/>
      <c r="Q153" s="252"/>
      <c r="R153" s="252"/>
      <c r="S153" s="313"/>
      <c r="T153" s="253"/>
    </row>
    <row r="154" spans="1:20" hidden="1">
      <c r="A154" s="260">
        <v>7</v>
      </c>
      <c r="B154" s="261" t="s">
        <v>310</v>
      </c>
      <c r="C154" s="475" t="s">
        <v>304</v>
      </c>
      <c r="D154" s="476"/>
      <c r="E154" s="476"/>
      <c r="F154" s="476"/>
      <c r="G154" s="477"/>
      <c r="H154" s="234" t="s">
        <v>306</v>
      </c>
      <c r="I154" s="234" t="s">
        <v>307</v>
      </c>
      <c r="J154" s="478" t="s">
        <v>308</v>
      </c>
      <c r="K154" s="479"/>
      <c r="L154" s="245" t="s">
        <v>311</v>
      </c>
      <c r="M154" s="234" t="s">
        <v>312</v>
      </c>
      <c r="N154" s="235"/>
      <c r="O154" s="235"/>
      <c r="P154" s="234"/>
      <c r="Q154" s="245"/>
      <c r="R154" s="245"/>
      <c r="S154" s="315"/>
      <c r="T154" s="234"/>
    </row>
    <row r="155" spans="1:20" hidden="1">
      <c r="A155" s="260"/>
      <c r="B155" s="264" t="s">
        <v>305</v>
      </c>
      <c r="C155" s="256">
        <v>13</v>
      </c>
      <c r="D155" s="259">
        <v>24</v>
      </c>
      <c r="E155" s="259"/>
      <c r="F155" s="259"/>
      <c r="G155" s="259"/>
      <c r="H155" s="259">
        <v>43</v>
      </c>
      <c r="I155" s="259"/>
      <c r="J155" s="259">
        <v>18</v>
      </c>
      <c r="K155" s="259">
        <v>13</v>
      </c>
      <c r="L155" s="256"/>
      <c r="M155" s="259"/>
      <c r="N155" s="259"/>
      <c r="O155" s="259"/>
      <c r="P155" s="259"/>
      <c r="Q155" s="256"/>
      <c r="R155" s="316"/>
      <c r="S155" s="256"/>
      <c r="T155" s="259"/>
    </row>
    <row r="156" spans="1:20" hidden="1">
      <c r="B156" s="242" t="s">
        <v>225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59"/>
      <c r="Q156" s="316"/>
      <c r="R156" s="256"/>
      <c r="S156" s="316"/>
      <c r="T156" s="267"/>
    </row>
    <row r="157" spans="1:20" hidden="1">
      <c r="B157" s="242" t="s">
        <v>225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67"/>
      <c r="O157" s="267"/>
      <c r="P157" s="259"/>
      <c r="Q157" s="256"/>
      <c r="R157" s="256"/>
      <c r="S157" s="316"/>
      <c r="T157" s="267"/>
    </row>
    <row r="158" spans="1:20" ht="27.6" hidden="1">
      <c r="B158" s="228" t="s">
        <v>282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49" t="s">
        <v>313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67"/>
      <c r="Q159" s="256"/>
      <c r="R159" s="256"/>
      <c r="S159" s="316"/>
      <c r="T159" s="259"/>
    </row>
    <row r="160" spans="1:20" ht="55.2" hidden="1">
      <c r="B160" s="249" t="s">
        <v>287</v>
      </c>
      <c r="C160" s="256"/>
      <c r="D160" s="259"/>
      <c r="E160" s="259"/>
      <c r="F160" s="259"/>
      <c r="G160" s="259"/>
      <c r="H160" s="259"/>
      <c r="I160" s="259"/>
      <c r="J160" s="259"/>
      <c r="K160" s="259"/>
      <c r="L160" s="256"/>
      <c r="M160" s="259"/>
      <c r="N160" s="270"/>
      <c r="O160" s="259"/>
      <c r="P160" s="259"/>
      <c r="Q160" s="256"/>
      <c r="R160" s="256"/>
      <c r="S160" s="316"/>
      <c r="T160" s="267"/>
    </row>
    <row r="161" spans="1:20" ht="41.4" hidden="1">
      <c r="B161" s="249" t="s">
        <v>288</v>
      </c>
      <c r="C161" s="256"/>
      <c r="D161" s="259"/>
      <c r="E161" s="259"/>
      <c r="F161" s="259"/>
      <c r="G161" s="259"/>
      <c r="H161" s="259"/>
      <c r="I161" s="259"/>
      <c r="J161" s="259"/>
      <c r="K161" s="259"/>
      <c r="L161" s="256"/>
      <c r="M161" s="259"/>
      <c r="N161" s="267"/>
      <c r="O161" s="259"/>
      <c r="P161" s="259"/>
      <c r="Q161" s="256"/>
      <c r="R161" s="256"/>
      <c r="S161" s="316"/>
      <c r="T161" s="259"/>
    </row>
    <row r="162" spans="1:20" hidden="1">
      <c r="B162" s="271" t="s">
        <v>314</v>
      </c>
      <c r="C162" s="256"/>
      <c r="D162" s="259"/>
      <c r="E162" s="259"/>
      <c r="F162" s="259"/>
      <c r="G162" s="259"/>
      <c r="H162" s="259"/>
      <c r="I162" s="259"/>
      <c r="J162" s="259"/>
      <c r="K162" s="259"/>
      <c r="L162" s="256"/>
      <c r="M162" s="259"/>
      <c r="N162" s="267"/>
      <c r="O162" s="259"/>
      <c r="P162" s="259"/>
      <c r="Q162" s="256"/>
      <c r="R162" s="256"/>
      <c r="S162" s="316"/>
      <c r="T162" s="259"/>
    </row>
    <row r="163" spans="1:20" hidden="1"/>
    <row r="164" spans="1:20" hidden="1"/>
    <row r="165" spans="1:20" hidden="1">
      <c r="A165" s="260">
        <v>8</v>
      </c>
      <c r="B165" s="261" t="s">
        <v>310</v>
      </c>
      <c r="C165" s="475" t="s">
        <v>304</v>
      </c>
      <c r="D165" s="476"/>
      <c r="E165" s="476"/>
      <c r="F165" s="476"/>
      <c r="G165" s="477"/>
      <c r="H165" s="234" t="s">
        <v>306</v>
      </c>
      <c r="I165" s="234" t="s">
        <v>307</v>
      </c>
      <c r="J165" s="478" t="s">
        <v>308</v>
      </c>
      <c r="K165" s="479"/>
      <c r="L165" s="245" t="s">
        <v>311</v>
      </c>
      <c r="M165" s="234" t="s">
        <v>312</v>
      </c>
      <c r="N165" s="235"/>
      <c r="O165" s="235"/>
      <c r="P165" s="234"/>
      <c r="Q165" s="245"/>
      <c r="R165" s="245"/>
      <c r="S165" s="315"/>
      <c r="T165" s="234"/>
    </row>
    <row r="166" spans="1:20" hidden="1">
      <c r="A166" s="260"/>
      <c r="B166" s="256" t="s">
        <v>305</v>
      </c>
      <c r="C166" s="256">
        <v>19</v>
      </c>
      <c r="D166" s="259">
        <v>19</v>
      </c>
      <c r="E166" s="259"/>
      <c r="F166" s="259"/>
      <c r="G166" s="259"/>
      <c r="H166" s="259">
        <v>76</v>
      </c>
      <c r="I166" s="259"/>
      <c r="J166" s="259"/>
      <c r="K166" s="259"/>
      <c r="L166" s="256"/>
      <c r="M166" s="259"/>
      <c r="N166" s="259"/>
      <c r="O166" s="259"/>
      <c r="P166" s="259"/>
      <c r="Q166" s="256"/>
      <c r="R166" s="316"/>
      <c r="S166" s="256"/>
      <c r="T166" s="259"/>
    </row>
    <row r="167" spans="1:20" hidden="1">
      <c r="B167" s="242" t="s">
        <v>225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67"/>
      <c r="O167" s="267"/>
      <c r="P167" s="259"/>
      <c r="Q167" s="316"/>
      <c r="R167" s="256"/>
      <c r="S167" s="316"/>
      <c r="T167" s="267"/>
    </row>
    <row r="168" spans="1:20" hidden="1">
      <c r="B168" s="242" t="s">
        <v>225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67"/>
      <c r="P168" s="259"/>
      <c r="Q168" s="256"/>
      <c r="R168" s="256"/>
      <c r="S168" s="316"/>
      <c r="T168" s="267"/>
    </row>
    <row r="169" spans="1:20" ht="27.6" hidden="1">
      <c r="B169" s="228" t="s">
        <v>282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t="55.2" hidden="1">
      <c r="B170" s="249" t="s">
        <v>287</v>
      </c>
      <c r="C170" s="256"/>
      <c r="D170" s="259"/>
      <c r="E170" s="259"/>
      <c r="F170" s="259"/>
      <c r="G170" s="259"/>
      <c r="H170" s="259"/>
      <c r="I170" s="259"/>
      <c r="J170" s="259"/>
      <c r="K170" s="259"/>
      <c r="L170" s="256"/>
      <c r="M170" s="259"/>
      <c r="N170" s="270"/>
      <c r="O170" s="259"/>
      <c r="P170" s="270"/>
      <c r="Q170" s="256"/>
      <c r="R170" s="256"/>
      <c r="S170" s="316"/>
      <c r="T170" s="259"/>
    </row>
    <row r="171" spans="1:20" ht="41.4" hidden="1">
      <c r="B171" s="249" t="s">
        <v>288</v>
      </c>
      <c r="C171" s="256"/>
      <c r="D171" s="259"/>
      <c r="E171" s="259"/>
      <c r="F171" s="259"/>
      <c r="G171" s="259"/>
      <c r="H171" s="259"/>
      <c r="I171" s="259"/>
      <c r="J171" s="259"/>
      <c r="K171" s="259"/>
      <c r="L171" s="256"/>
      <c r="M171" s="259"/>
      <c r="N171" s="267"/>
      <c r="O171" s="259"/>
      <c r="P171" s="259"/>
      <c r="Q171" s="256"/>
      <c r="R171" s="256"/>
      <c r="S171" s="316"/>
      <c r="T171" s="267"/>
    </row>
    <row r="172" spans="1:20" hidden="1">
      <c r="B172" s="271" t="s">
        <v>314</v>
      </c>
      <c r="C172" s="256"/>
      <c r="D172" s="259"/>
      <c r="E172" s="259"/>
      <c r="F172" s="259"/>
      <c r="G172" s="259"/>
      <c r="H172" s="259"/>
      <c r="I172" s="259"/>
      <c r="J172" s="259"/>
      <c r="K172" s="259"/>
      <c r="L172" s="256"/>
      <c r="M172" s="259"/>
      <c r="N172" s="267"/>
      <c r="O172" s="259"/>
      <c r="P172" s="259"/>
      <c r="Q172" s="256"/>
      <c r="R172" s="256"/>
      <c r="S172" s="316"/>
      <c r="T172" s="259"/>
    </row>
    <row r="173" spans="1:20" hidden="1">
      <c r="S173" s="313"/>
      <c r="T173" s="253"/>
    </row>
    <row r="174" spans="1:20" hidden="1"/>
    <row r="175" spans="1:20" hidden="1">
      <c r="B175" s="261" t="s">
        <v>310</v>
      </c>
      <c r="C175" s="475" t="s">
        <v>304</v>
      </c>
      <c r="D175" s="476"/>
      <c r="E175" s="476"/>
      <c r="F175" s="476"/>
      <c r="G175" s="477"/>
      <c r="H175" s="234" t="s">
        <v>306</v>
      </c>
      <c r="I175" s="234" t="s">
        <v>307</v>
      </c>
      <c r="J175" s="478" t="s">
        <v>308</v>
      </c>
      <c r="K175" s="479"/>
      <c r="L175" s="245" t="s">
        <v>311</v>
      </c>
      <c r="M175" s="234" t="s">
        <v>312</v>
      </c>
      <c r="N175" s="235"/>
      <c r="O175" s="235"/>
      <c r="P175" s="234"/>
      <c r="Q175" s="245"/>
      <c r="R175" s="245"/>
      <c r="S175" s="315"/>
      <c r="T175" s="234"/>
    </row>
    <row r="176" spans="1:20" hidden="1">
      <c r="A176" s="260">
        <v>9</v>
      </c>
      <c r="B176" s="264" t="s">
        <v>305</v>
      </c>
      <c r="C176" s="256">
        <v>29</v>
      </c>
      <c r="D176" s="259">
        <v>89</v>
      </c>
      <c r="E176" s="259"/>
      <c r="F176" s="259"/>
      <c r="G176" s="259"/>
      <c r="H176" s="259">
        <v>75</v>
      </c>
      <c r="I176" s="259"/>
      <c r="J176" s="259"/>
      <c r="K176" s="259">
        <v>24</v>
      </c>
      <c r="L176" s="256"/>
      <c r="M176" s="259"/>
      <c r="N176" s="259"/>
      <c r="O176" s="259"/>
      <c r="P176" s="259"/>
      <c r="Q176" s="256"/>
      <c r="R176" s="316"/>
      <c r="S176" s="256"/>
      <c r="T176" s="259"/>
    </row>
    <row r="177" spans="1:20" hidden="1">
      <c r="B177" s="242" t="s">
        <v>225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67"/>
      <c r="O177" s="267"/>
      <c r="P177" s="259"/>
      <c r="Q177" s="316"/>
      <c r="R177" s="256"/>
      <c r="S177" s="316"/>
      <c r="T177" s="267"/>
    </row>
    <row r="178" spans="1:20" hidden="1">
      <c r="B178" s="242" t="s">
        <v>225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67"/>
      <c r="P178" s="259"/>
      <c r="Q178" s="256"/>
      <c r="R178" s="256"/>
      <c r="S178" s="316"/>
      <c r="T178" s="267"/>
    </row>
    <row r="179" spans="1:20" ht="27.6" hidden="1">
      <c r="B179" s="228" t="s">
        <v>282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t="55.2" hidden="1">
      <c r="B180" s="249" t="s">
        <v>287</v>
      </c>
      <c r="C180" s="256"/>
      <c r="D180" s="259"/>
      <c r="E180" s="259"/>
      <c r="F180" s="259"/>
      <c r="G180" s="259"/>
      <c r="H180" s="259"/>
      <c r="I180" s="259"/>
      <c r="J180" s="259"/>
      <c r="K180" s="259"/>
      <c r="L180" s="256"/>
      <c r="M180" s="259"/>
      <c r="N180" s="270"/>
      <c r="O180" s="259"/>
      <c r="P180" s="270"/>
      <c r="Q180" s="256"/>
      <c r="R180" s="256"/>
      <c r="S180" s="316"/>
      <c r="T180" s="259"/>
    </row>
    <row r="181" spans="1:20" ht="41.4" hidden="1">
      <c r="B181" s="249" t="s">
        <v>288</v>
      </c>
      <c r="C181" s="256"/>
      <c r="D181" s="259"/>
      <c r="E181" s="259"/>
      <c r="F181" s="259"/>
      <c r="G181" s="259"/>
      <c r="H181" s="259"/>
      <c r="I181" s="259"/>
      <c r="J181" s="259"/>
      <c r="K181" s="259"/>
      <c r="L181" s="256"/>
      <c r="M181" s="259"/>
      <c r="N181" s="267"/>
      <c r="O181" s="259"/>
      <c r="P181" s="259"/>
      <c r="Q181" s="256"/>
      <c r="R181" s="256"/>
      <c r="S181" s="316"/>
      <c r="T181" s="267"/>
    </row>
    <row r="182" spans="1:20" hidden="1">
      <c r="B182" s="271" t="s">
        <v>314</v>
      </c>
      <c r="C182" s="256"/>
      <c r="D182" s="259"/>
      <c r="E182" s="259"/>
      <c r="F182" s="259"/>
      <c r="G182" s="259"/>
      <c r="H182" s="259"/>
      <c r="I182" s="259"/>
      <c r="J182" s="259"/>
      <c r="K182" s="259"/>
      <c r="L182" s="256"/>
      <c r="M182" s="259"/>
      <c r="N182" s="267"/>
      <c r="O182" s="259"/>
      <c r="P182" s="259"/>
      <c r="Q182" s="256"/>
      <c r="R182" s="256"/>
      <c r="S182" s="316"/>
      <c r="T182" s="259"/>
    </row>
    <row r="183" spans="1:20" hidden="1"/>
    <row r="184" spans="1:20" hidden="1"/>
    <row r="185" spans="1:20" hidden="1">
      <c r="B185" s="261" t="s">
        <v>310</v>
      </c>
      <c r="C185" s="475" t="s">
        <v>304</v>
      </c>
      <c r="D185" s="476"/>
      <c r="E185" s="476"/>
      <c r="F185" s="476"/>
      <c r="G185" s="477"/>
      <c r="H185" s="234" t="s">
        <v>306</v>
      </c>
      <c r="I185" s="234" t="s">
        <v>307</v>
      </c>
      <c r="J185" s="478" t="s">
        <v>308</v>
      </c>
      <c r="K185" s="479"/>
      <c r="L185" s="245" t="s">
        <v>311</v>
      </c>
      <c r="M185" s="234" t="s">
        <v>312</v>
      </c>
      <c r="N185" s="235"/>
      <c r="O185" s="235"/>
      <c r="P185" s="234"/>
      <c r="Q185" s="245"/>
      <c r="R185" s="245"/>
      <c r="S185" s="315"/>
      <c r="T185" s="234"/>
    </row>
    <row r="186" spans="1:20" hidden="1">
      <c r="A186" s="260">
        <v>10</v>
      </c>
      <c r="B186" s="256" t="s">
        <v>305</v>
      </c>
      <c r="C186" s="256">
        <v>18</v>
      </c>
      <c r="D186" s="259">
        <v>17</v>
      </c>
      <c r="E186" s="259"/>
      <c r="F186" s="259"/>
      <c r="G186" s="259"/>
      <c r="H186" s="259">
        <v>75</v>
      </c>
      <c r="I186" s="259"/>
      <c r="J186" s="259"/>
      <c r="K186" s="259"/>
      <c r="L186" s="256"/>
      <c r="M186" s="259"/>
      <c r="N186" s="259"/>
      <c r="O186" s="259"/>
      <c r="P186" s="259"/>
      <c r="Q186" s="256"/>
      <c r="R186" s="316"/>
      <c r="S186" s="256"/>
      <c r="T186" s="259"/>
    </row>
    <row r="187" spans="1:20" hidden="1">
      <c r="B187" s="242" t="s">
        <v>225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67"/>
      <c r="O187" s="259"/>
      <c r="P187" s="259"/>
      <c r="Q187" s="316"/>
      <c r="R187" s="256"/>
      <c r="S187" s="316"/>
      <c r="T187" s="267"/>
    </row>
    <row r="188" spans="1:20" hidden="1">
      <c r="B188" s="242" t="s">
        <v>225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67"/>
      <c r="O188" s="267"/>
      <c r="P188" s="259"/>
      <c r="Q188" s="256"/>
      <c r="R188" s="256"/>
      <c r="S188" s="316"/>
      <c r="T188" s="267"/>
    </row>
    <row r="189" spans="1:20" ht="27.6" hidden="1">
      <c r="B189" s="228" t="s">
        <v>282</v>
      </c>
      <c r="C189" s="256"/>
      <c r="D189" s="259"/>
      <c r="E189" s="259"/>
      <c r="F189" s="259"/>
      <c r="G189" s="259"/>
      <c r="H189" s="234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46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70"/>
      <c r="O190" s="259"/>
      <c r="P190" s="267"/>
      <c r="Q190" s="256"/>
      <c r="R190" s="256"/>
      <c r="S190" s="316"/>
      <c r="T190" s="259"/>
    </row>
    <row r="191" spans="1:20" ht="55.2" hidden="1">
      <c r="B191" s="249" t="s">
        <v>287</v>
      </c>
      <c r="C191" s="256"/>
      <c r="D191" s="259"/>
      <c r="E191" s="259"/>
      <c r="F191" s="259"/>
      <c r="G191" s="259"/>
      <c r="H191" s="259"/>
      <c r="I191" s="259"/>
      <c r="J191" s="259"/>
      <c r="K191" s="259"/>
      <c r="L191" s="256"/>
      <c r="M191" s="259"/>
      <c r="N191" s="270"/>
      <c r="O191" s="259"/>
      <c r="P191" s="259"/>
      <c r="Q191" s="256"/>
      <c r="R191" s="256"/>
      <c r="S191" s="316"/>
      <c r="T191" s="267"/>
    </row>
    <row r="192" spans="1:20" ht="41.4" hidden="1">
      <c r="B192" s="249" t="s">
        <v>288</v>
      </c>
      <c r="C192" s="256"/>
      <c r="D192" s="259"/>
      <c r="E192" s="259"/>
      <c r="F192" s="259"/>
      <c r="G192" s="259"/>
      <c r="H192" s="259"/>
      <c r="I192" s="259"/>
      <c r="J192" s="259"/>
      <c r="K192" s="259"/>
      <c r="L192" s="256"/>
      <c r="M192" s="259"/>
      <c r="N192" s="267"/>
      <c r="O192" s="259"/>
      <c r="P192" s="259"/>
      <c r="Q192" s="256"/>
      <c r="R192" s="256"/>
      <c r="S192" s="316"/>
      <c r="T192" s="259"/>
    </row>
    <row r="193" spans="1:20" hidden="1">
      <c r="B193" s="271" t="s">
        <v>314</v>
      </c>
      <c r="C193" s="256"/>
      <c r="D193" s="259"/>
      <c r="E193" s="259"/>
      <c r="F193" s="259"/>
      <c r="G193" s="259"/>
      <c r="H193" s="259"/>
      <c r="I193" s="259"/>
      <c r="J193" s="259"/>
      <c r="K193" s="259"/>
      <c r="L193" s="256"/>
      <c r="M193" s="259"/>
      <c r="N193" s="267"/>
      <c r="O193" s="259"/>
      <c r="P193" s="259"/>
      <c r="Q193" s="256"/>
      <c r="R193" s="256"/>
      <c r="S193" s="316"/>
      <c r="T193" s="259"/>
    </row>
    <row r="194" spans="1:20" hidden="1"/>
    <row r="195" spans="1:20" hidden="1"/>
    <row r="196" spans="1:20" hidden="1">
      <c r="B196" s="261" t="s">
        <v>310</v>
      </c>
      <c r="C196" s="475" t="s">
        <v>304</v>
      </c>
      <c r="D196" s="476"/>
      <c r="E196" s="476"/>
      <c r="F196" s="476"/>
      <c r="G196" s="477"/>
      <c r="H196" s="234" t="s">
        <v>306</v>
      </c>
      <c r="I196" s="234" t="s">
        <v>307</v>
      </c>
      <c r="J196" s="478" t="s">
        <v>308</v>
      </c>
      <c r="K196" s="479"/>
      <c r="L196" s="245" t="s">
        <v>311</v>
      </c>
      <c r="M196" s="234" t="s">
        <v>312</v>
      </c>
      <c r="N196" s="235"/>
      <c r="O196" s="235"/>
      <c r="P196" s="234"/>
      <c r="Q196" s="245"/>
      <c r="R196" s="245"/>
      <c r="S196" s="315"/>
      <c r="T196" s="234"/>
    </row>
    <row r="197" spans="1:20" hidden="1">
      <c r="A197" s="260">
        <v>12</v>
      </c>
      <c r="B197" s="264" t="s">
        <v>305</v>
      </c>
      <c r="C197" s="256">
        <v>29</v>
      </c>
      <c r="D197" s="259">
        <v>70</v>
      </c>
      <c r="E197" s="259"/>
      <c r="F197" s="259"/>
      <c r="G197" s="259"/>
      <c r="H197" s="259">
        <v>67</v>
      </c>
      <c r="I197" s="259"/>
      <c r="J197" s="259"/>
      <c r="K197" s="259"/>
      <c r="L197" s="256"/>
      <c r="M197" s="259"/>
      <c r="N197" s="259"/>
      <c r="O197" s="259"/>
      <c r="P197" s="259"/>
      <c r="Q197" s="256"/>
      <c r="R197" s="316"/>
      <c r="S197" s="256"/>
      <c r="T197" s="259"/>
    </row>
    <row r="198" spans="1:20" hidden="1">
      <c r="B198" s="242" t="s">
        <v>225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67"/>
      <c r="O198" s="267"/>
      <c r="P198" s="259"/>
      <c r="Q198" s="316"/>
      <c r="R198" s="256"/>
      <c r="S198" s="316"/>
      <c r="T198" s="267"/>
    </row>
    <row r="199" spans="1:20" hidden="1">
      <c r="B199" s="242" t="s">
        <v>225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67"/>
      <c r="P199" s="259"/>
      <c r="Q199" s="256"/>
      <c r="R199" s="256"/>
      <c r="S199" s="316"/>
      <c r="T199" s="267"/>
    </row>
    <row r="200" spans="1:20" ht="27.6" hidden="1">
      <c r="B200" s="228" t="s">
        <v>282</v>
      </c>
      <c r="C200" s="256"/>
      <c r="D200" s="259"/>
      <c r="E200" s="259"/>
      <c r="F200" s="259"/>
      <c r="G200" s="259"/>
      <c r="H200" s="234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t="55.2" hidden="1">
      <c r="B201" s="249" t="s">
        <v>287</v>
      </c>
      <c r="C201" s="256"/>
      <c r="D201" s="259"/>
      <c r="E201" s="259"/>
      <c r="F201" s="259"/>
      <c r="G201" s="259"/>
      <c r="H201" s="259"/>
      <c r="I201" s="259"/>
      <c r="J201" s="259"/>
      <c r="K201" s="259"/>
      <c r="L201" s="256"/>
      <c r="M201" s="259"/>
      <c r="N201" s="270"/>
      <c r="O201" s="259"/>
      <c r="P201" s="270"/>
      <c r="Q201" s="256"/>
      <c r="R201" s="256"/>
      <c r="S201" s="316"/>
      <c r="T201" s="259"/>
    </row>
    <row r="202" spans="1:20" ht="41.4" hidden="1">
      <c r="B202" s="249" t="s">
        <v>288</v>
      </c>
      <c r="C202" s="256"/>
      <c r="D202" s="259"/>
      <c r="E202" s="259"/>
      <c r="F202" s="259"/>
      <c r="G202" s="259"/>
      <c r="H202" s="259"/>
      <c r="I202" s="259"/>
      <c r="J202" s="259"/>
      <c r="K202" s="259"/>
      <c r="L202" s="256"/>
      <c r="M202" s="259"/>
      <c r="N202" s="267"/>
      <c r="O202" s="259"/>
      <c r="P202" s="259"/>
      <c r="Q202" s="256"/>
      <c r="R202" s="256"/>
      <c r="S202" s="316"/>
      <c r="T202" s="267"/>
    </row>
    <row r="203" spans="1:20" hidden="1">
      <c r="B203" s="271" t="s">
        <v>314</v>
      </c>
      <c r="C203" s="256"/>
      <c r="D203" s="259"/>
      <c r="E203" s="259"/>
      <c r="F203" s="259"/>
      <c r="G203" s="259"/>
      <c r="H203" s="259"/>
      <c r="I203" s="259"/>
      <c r="J203" s="259"/>
      <c r="K203" s="259"/>
      <c r="L203" s="256"/>
      <c r="M203" s="259"/>
      <c r="N203" s="267"/>
      <c r="O203" s="259"/>
      <c r="P203" s="259"/>
      <c r="Q203" s="256"/>
      <c r="R203" s="256"/>
      <c r="S203" s="316"/>
      <c r="T203" s="259"/>
    </row>
    <row r="204" spans="1:20" hidden="1"/>
    <row r="205" spans="1:20" hidden="1"/>
    <row r="206" spans="1:20" hidden="1">
      <c r="A206" s="260">
        <v>13</v>
      </c>
      <c r="B206" s="261" t="s">
        <v>310</v>
      </c>
      <c r="C206" s="475" t="s">
        <v>304</v>
      </c>
      <c r="D206" s="476"/>
      <c r="E206" s="476"/>
      <c r="F206" s="476"/>
      <c r="G206" s="477"/>
      <c r="H206" s="234" t="s">
        <v>306</v>
      </c>
      <c r="I206" s="234" t="s">
        <v>307</v>
      </c>
      <c r="J206" s="478" t="s">
        <v>308</v>
      </c>
      <c r="K206" s="479"/>
      <c r="L206" s="245" t="s">
        <v>311</v>
      </c>
      <c r="M206" s="234" t="s">
        <v>312</v>
      </c>
      <c r="N206" s="235"/>
      <c r="O206" s="235"/>
      <c r="P206" s="234"/>
      <c r="Q206" s="245"/>
      <c r="R206" s="245"/>
      <c r="S206" s="315"/>
      <c r="T206" s="234"/>
    </row>
    <row r="207" spans="1:20" hidden="1">
      <c r="B207" s="264" t="s">
        <v>305</v>
      </c>
      <c r="C207" s="256">
        <v>1</v>
      </c>
      <c r="D207" s="259">
        <v>44</v>
      </c>
      <c r="E207" s="259"/>
      <c r="F207" s="259"/>
      <c r="G207" s="259"/>
      <c r="H207" s="259">
        <v>73</v>
      </c>
      <c r="I207" s="259"/>
      <c r="J207" s="259"/>
      <c r="K207" s="259"/>
      <c r="L207" s="256">
        <v>45</v>
      </c>
      <c r="M207" s="259">
        <v>73</v>
      </c>
      <c r="N207" s="259"/>
      <c r="O207" s="259"/>
      <c r="P207" s="259"/>
      <c r="Q207" s="256"/>
      <c r="R207" s="316"/>
      <c r="S207" s="256"/>
      <c r="T207" s="259"/>
    </row>
    <row r="208" spans="1:20" hidden="1">
      <c r="B208" s="242" t="s">
        <v>225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67"/>
      <c r="P208" s="259"/>
      <c r="Q208" s="316"/>
      <c r="R208" s="256"/>
      <c r="S208" s="316"/>
      <c r="T208" s="267"/>
    </row>
    <row r="209" spans="1:20" hidden="1">
      <c r="B209" s="242" t="s">
        <v>225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67"/>
      <c r="O209" s="267"/>
      <c r="P209" s="259"/>
      <c r="Q209" s="256"/>
      <c r="R209" s="256"/>
      <c r="S209" s="316"/>
      <c r="T209" s="267"/>
    </row>
    <row r="210" spans="1:20" ht="27.6" hidden="1">
      <c r="B210" s="228" t="s">
        <v>282</v>
      </c>
      <c r="C210" s="256"/>
      <c r="D210" s="259"/>
      <c r="E210" s="259"/>
      <c r="F210" s="259"/>
      <c r="G210" s="259"/>
      <c r="H210" s="234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46" t="s">
        <v>316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t="55.2" hidden="1">
      <c r="B212" s="249" t="s">
        <v>287</v>
      </c>
      <c r="C212" s="256"/>
      <c r="D212" s="259"/>
      <c r="E212" s="259"/>
      <c r="F212" s="259"/>
      <c r="G212" s="259"/>
      <c r="H212" s="259"/>
      <c r="I212" s="259"/>
      <c r="J212" s="259"/>
      <c r="K212" s="259"/>
      <c r="L212" s="256"/>
      <c r="M212" s="259"/>
      <c r="N212" s="270"/>
      <c r="O212" s="259"/>
      <c r="P212" s="273"/>
      <c r="Q212" s="256"/>
      <c r="R212" s="256"/>
      <c r="S212" s="316"/>
      <c r="T212" s="267"/>
    </row>
    <row r="213" spans="1:20" ht="41.4" hidden="1">
      <c r="B213" s="249" t="s">
        <v>288</v>
      </c>
      <c r="C213" s="256"/>
      <c r="D213" s="259"/>
      <c r="E213" s="259"/>
      <c r="F213" s="259"/>
      <c r="G213" s="259"/>
      <c r="H213" s="259"/>
      <c r="I213" s="259"/>
      <c r="J213" s="259"/>
      <c r="K213" s="259"/>
      <c r="L213" s="256"/>
      <c r="M213" s="259"/>
      <c r="N213" s="267"/>
      <c r="O213" s="259"/>
      <c r="P213" s="259"/>
      <c r="Q213" s="256"/>
      <c r="R213" s="256"/>
      <c r="S213" s="316"/>
      <c r="T213" s="259"/>
    </row>
    <row r="214" spans="1:20" hidden="1">
      <c r="B214" s="271" t="s">
        <v>314</v>
      </c>
      <c r="C214" s="256"/>
      <c r="D214" s="259"/>
      <c r="E214" s="259"/>
      <c r="F214" s="259"/>
      <c r="G214" s="259"/>
      <c r="H214" s="259"/>
      <c r="I214" s="259"/>
      <c r="J214" s="259"/>
      <c r="K214" s="259"/>
      <c r="L214" s="256"/>
      <c r="M214" s="259"/>
      <c r="N214" s="267"/>
      <c r="O214" s="259"/>
      <c r="P214" s="259"/>
      <c r="Q214" s="256"/>
      <c r="R214" s="256"/>
      <c r="S214" s="316"/>
      <c r="T214" s="259"/>
    </row>
    <row r="215" spans="1:20" hidden="1"/>
    <row r="216" spans="1:20" hidden="1"/>
    <row r="217" spans="1:20" hidden="1">
      <c r="A217" s="260">
        <v>14</v>
      </c>
      <c r="B217" s="261" t="s">
        <v>310</v>
      </c>
      <c r="C217" s="475" t="s">
        <v>304</v>
      </c>
      <c r="D217" s="476"/>
      <c r="E217" s="476"/>
      <c r="F217" s="476"/>
      <c r="G217" s="477"/>
      <c r="H217" s="234" t="s">
        <v>306</v>
      </c>
      <c r="I217" s="234" t="s">
        <v>307</v>
      </c>
      <c r="J217" s="478" t="s">
        <v>308</v>
      </c>
      <c r="K217" s="479"/>
      <c r="L217" s="245" t="s">
        <v>311</v>
      </c>
      <c r="M217" s="234" t="s">
        <v>312</v>
      </c>
      <c r="N217" s="235"/>
      <c r="O217" s="235"/>
      <c r="P217" s="234"/>
      <c r="Q217" s="245"/>
      <c r="R217" s="245"/>
      <c r="S217" s="315"/>
      <c r="T217" s="234"/>
    </row>
    <row r="218" spans="1:20" hidden="1">
      <c r="B218" s="264" t="s">
        <v>305</v>
      </c>
      <c r="C218" s="256">
        <v>32</v>
      </c>
      <c r="D218" s="259"/>
      <c r="E218" s="259"/>
      <c r="F218" s="259"/>
      <c r="G218" s="259"/>
      <c r="H218" s="259">
        <v>198</v>
      </c>
      <c r="I218" s="259"/>
      <c r="J218" s="259"/>
      <c r="K218" s="259">
        <v>10</v>
      </c>
      <c r="L218" s="256"/>
      <c r="M218" s="259">
        <v>198</v>
      </c>
      <c r="N218" s="259"/>
      <c r="O218" s="259"/>
      <c r="P218" s="259"/>
      <c r="Q218" s="256"/>
      <c r="R218" s="316"/>
      <c r="S218" s="256"/>
      <c r="T218" s="259"/>
    </row>
    <row r="219" spans="1:20" hidden="1">
      <c r="B219" s="242" t="s">
        <v>225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67"/>
      <c r="P219" s="259"/>
      <c r="Q219" s="316"/>
      <c r="R219" s="256"/>
      <c r="S219" s="316"/>
      <c r="T219" s="267"/>
    </row>
    <row r="220" spans="1:20" hidden="1">
      <c r="B220" s="242" t="s">
        <v>225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67"/>
      <c r="O220" s="267"/>
      <c r="P220" s="259"/>
      <c r="Q220" s="256"/>
      <c r="R220" s="256"/>
      <c r="S220" s="316"/>
      <c r="T220" s="267"/>
    </row>
    <row r="221" spans="1:20" ht="27.6" hidden="1">
      <c r="B221" s="228" t="s">
        <v>282</v>
      </c>
      <c r="C221" s="256"/>
      <c r="D221" s="259"/>
      <c r="E221" s="259"/>
      <c r="F221" s="259"/>
      <c r="G221" s="259"/>
      <c r="H221" s="234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46" t="s">
        <v>316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t="55.2" hidden="1">
      <c r="B223" s="249" t="s">
        <v>287</v>
      </c>
      <c r="C223" s="256"/>
      <c r="D223" s="259"/>
      <c r="E223" s="259"/>
      <c r="F223" s="259"/>
      <c r="G223" s="259"/>
      <c r="H223" s="259"/>
      <c r="I223" s="259"/>
      <c r="J223" s="259"/>
      <c r="K223" s="259"/>
      <c r="L223" s="256"/>
      <c r="M223" s="259"/>
      <c r="N223" s="270"/>
      <c r="O223" s="259"/>
      <c r="P223" s="273"/>
      <c r="Q223" s="256"/>
      <c r="R223" s="256"/>
      <c r="S223" s="316"/>
      <c r="T223" s="267"/>
    </row>
    <row r="224" spans="1:20" ht="41.4" hidden="1">
      <c r="B224" s="249" t="s">
        <v>288</v>
      </c>
      <c r="C224" s="256"/>
      <c r="D224" s="259"/>
      <c r="E224" s="259"/>
      <c r="F224" s="259"/>
      <c r="G224" s="259"/>
      <c r="H224" s="259"/>
      <c r="I224" s="259"/>
      <c r="J224" s="259"/>
      <c r="K224" s="259"/>
      <c r="L224" s="256"/>
      <c r="M224" s="259"/>
      <c r="N224" s="267"/>
      <c r="O224" s="259"/>
      <c r="P224" s="259"/>
      <c r="Q224" s="256"/>
      <c r="R224" s="256"/>
      <c r="S224" s="316"/>
      <c r="T224" s="259"/>
    </row>
    <row r="225" spans="1:20" hidden="1">
      <c r="B225" s="271" t="s">
        <v>314</v>
      </c>
      <c r="C225" s="256"/>
      <c r="D225" s="259"/>
      <c r="E225" s="259"/>
      <c r="F225" s="259"/>
      <c r="G225" s="259"/>
      <c r="H225" s="259"/>
      <c r="I225" s="259"/>
      <c r="J225" s="259"/>
      <c r="K225" s="259"/>
      <c r="L225" s="256"/>
      <c r="M225" s="259"/>
      <c r="N225" s="267"/>
      <c r="O225" s="259"/>
      <c r="P225" s="259"/>
      <c r="Q225" s="256"/>
      <c r="R225" s="256"/>
      <c r="S225" s="316"/>
      <c r="T225" s="259"/>
    </row>
    <row r="226" spans="1:20" hidden="1"/>
    <row r="227" spans="1:20" hidden="1"/>
    <row r="228" spans="1:20" hidden="1">
      <c r="A228" s="260">
        <v>15</v>
      </c>
      <c r="B228" s="261" t="s">
        <v>310</v>
      </c>
      <c r="C228" s="475" t="s">
        <v>304</v>
      </c>
      <c r="D228" s="476"/>
      <c r="E228" s="476"/>
      <c r="F228" s="476"/>
      <c r="G228" s="477"/>
      <c r="H228" s="234" t="s">
        <v>306</v>
      </c>
      <c r="I228" s="234" t="s">
        <v>307</v>
      </c>
      <c r="J228" s="478" t="s">
        <v>308</v>
      </c>
      <c r="K228" s="479"/>
      <c r="L228" s="245" t="s">
        <v>311</v>
      </c>
      <c r="M228" s="234" t="s">
        <v>312</v>
      </c>
      <c r="N228" s="235"/>
      <c r="O228" s="235"/>
      <c r="P228" s="234"/>
      <c r="Q228" s="245"/>
      <c r="R228" s="245"/>
      <c r="S228" s="315"/>
      <c r="T228" s="234"/>
    </row>
    <row r="229" spans="1:20" hidden="1">
      <c r="B229" s="264" t="s">
        <v>305</v>
      </c>
      <c r="C229" s="256">
        <v>36</v>
      </c>
      <c r="D229" s="259"/>
      <c r="E229" s="259"/>
      <c r="F229" s="259"/>
      <c r="G229" s="259"/>
      <c r="H229" s="259">
        <v>96</v>
      </c>
      <c r="I229" s="259"/>
      <c r="J229" s="259"/>
      <c r="K229" s="259"/>
      <c r="L229" s="256"/>
      <c r="M229" s="259"/>
      <c r="N229" s="259"/>
      <c r="O229" s="259"/>
      <c r="P229" s="259"/>
      <c r="Q229" s="256"/>
      <c r="R229" s="316"/>
      <c r="S229" s="256"/>
      <c r="T229" s="259"/>
    </row>
    <row r="230" spans="1:20" hidden="1">
      <c r="B230" s="242" t="s">
        <v>225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67"/>
      <c r="P230" s="259"/>
      <c r="Q230" s="316"/>
      <c r="R230" s="256"/>
      <c r="S230" s="316"/>
      <c r="T230" s="267"/>
    </row>
    <row r="231" spans="1:20" hidden="1">
      <c r="B231" s="242" t="s">
        <v>225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67"/>
      <c r="O231" s="267"/>
      <c r="P231" s="259"/>
      <c r="Q231" s="256"/>
      <c r="R231" s="256"/>
      <c r="S231" s="316"/>
      <c r="T231" s="267"/>
    </row>
    <row r="232" spans="1:20" ht="27.6" hidden="1">
      <c r="B232" s="228" t="s">
        <v>282</v>
      </c>
      <c r="C232" s="256"/>
      <c r="D232" s="259"/>
      <c r="E232" s="259"/>
      <c r="F232" s="259"/>
      <c r="G232" s="259"/>
      <c r="H232" s="234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46" t="s">
        <v>316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t="55.2" hidden="1">
      <c r="B234" s="249" t="s">
        <v>287</v>
      </c>
      <c r="C234" s="256"/>
      <c r="D234" s="259"/>
      <c r="E234" s="259"/>
      <c r="F234" s="259"/>
      <c r="G234" s="259"/>
      <c r="H234" s="259"/>
      <c r="I234" s="259"/>
      <c r="J234" s="259"/>
      <c r="K234" s="259"/>
      <c r="L234" s="256"/>
      <c r="M234" s="259"/>
      <c r="N234" s="270"/>
      <c r="O234" s="259"/>
      <c r="P234" s="270"/>
      <c r="Q234" s="256"/>
      <c r="R234" s="256"/>
      <c r="S234" s="316"/>
      <c r="T234" s="267"/>
    </row>
    <row r="235" spans="1:20" ht="41.4" hidden="1">
      <c r="B235" s="249" t="s">
        <v>288</v>
      </c>
      <c r="C235" s="256"/>
      <c r="D235" s="259"/>
      <c r="E235" s="259"/>
      <c r="F235" s="259"/>
      <c r="G235" s="259"/>
      <c r="H235" s="259"/>
      <c r="I235" s="259"/>
      <c r="J235" s="259"/>
      <c r="K235" s="259"/>
      <c r="L235" s="256"/>
      <c r="M235" s="259"/>
      <c r="N235" s="267"/>
      <c r="O235" s="259"/>
      <c r="P235" s="259"/>
      <c r="Q235" s="256"/>
      <c r="R235" s="256"/>
      <c r="S235" s="316"/>
      <c r="T235" s="259"/>
    </row>
    <row r="236" spans="1:20" hidden="1">
      <c r="B236" s="271" t="s">
        <v>314</v>
      </c>
      <c r="C236" s="256"/>
      <c r="D236" s="259"/>
      <c r="E236" s="259"/>
      <c r="F236" s="259"/>
      <c r="G236" s="259"/>
      <c r="H236" s="259"/>
      <c r="I236" s="259"/>
      <c r="J236" s="259"/>
      <c r="K236" s="259"/>
      <c r="L236" s="256"/>
      <c r="M236" s="259"/>
      <c r="N236" s="267"/>
      <c r="O236" s="259"/>
      <c r="P236" s="259"/>
      <c r="Q236" s="256"/>
      <c r="R236" s="256"/>
      <c r="S236" s="316"/>
      <c r="T236" s="259"/>
    </row>
    <row r="237" spans="1:20" hidden="1"/>
    <row r="238" spans="1:20" hidden="1"/>
    <row r="239" spans="1:20" hidden="1">
      <c r="A239" s="260">
        <v>17</v>
      </c>
      <c r="B239" s="261" t="s">
        <v>310</v>
      </c>
      <c r="C239" s="475" t="s">
        <v>304</v>
      </c>
      <c r="D239" s="476"/>
      <c r="E239" s="476"/>
      <c r="F239" s="476"/>
      <c r="G239" s="477"/>
      <c r="H239" s="234" t="s">
        <v>306</v>
      </c>
      <c r="I239" s="234" t="s">
        <v>307</v>
      </c>
      <c r="J239" s="478" t="s">
        <v>308</v>
      </c>
      <c r="K239" s="479"/>
      <c r="L239" s="245" t="s">
        <v>311</v>
      </c>
      <c r="M239" s="234" t="s">
        <v>312</v>
      </c>
      <c r="N239" s="235"/>
      <c r="O239" s="235"/>
      <c r="P239" s="234"/>
      <c r="Q239" s="245"/>
      <c r="R239" s="245"/>
      <c r="S239" s="315"/>
      <c r="T239" s="234"/>
    </row>
    <row r="240" spans="1:20" hidden="1">
      <c r="B240" s="264" t="s">
        <v>305</v>
      </c>
      <c r="C240" s="256">
        <v>32</v>
      </c>
      <c r="D240" s="259"/>
      <c r="E240" s="259"/>
      <c r="F240" s="259"/>
      <c r="G240" s="259"/>
      <c r="H240" s="259">
        <v>212</v>
      </c>
      <c r="I240" s="259"/>
      <c r="J240" s="259"/>
      <c r="K240" s="259"/>
      <c r="L240" s="256"/>
      <c r="M240" s="259"/>
      <c r="N240" s="259"/>
      <c r="O240" s="259"/>
      <c r="P240" s="259"/>
      <c r="Q240" s="256"/>
      <c r="R240" s="316"/>
      <c r="S240" s="256"/>
      <c r="T240" s="259"/>
    </row>
    <row r="241" spans="1:20" hidden="1">
      <c r="B241" s="242" t="s">
        <v>225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67"/>
      <c r="P241" s="259"/>
      <c r="Q241" s="316"/>
      <c r="R241" s="256"/>
      <c r="S241" s="316"/>
      <c r="T241" s="267"/>
    </row>
    <row r="242" spans="1:20" hidden="1">
      <c r="B242" s="242" t="s">
        <v>225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67"/>
      <c r="O242" s="267"/>
      <c r="P242" s="259"/>
      <c r="Q242" s="256"/>
      <c r="R242" s="256"/>
      <c r="S242" s="316"/>
      <c r="T242" s="267"/>
    </row>
    <row r="243" spans="1:20" ht="27.6" hidden="1">
      <c r="B243" s="228" t="s">
        <v>282</v>
      </c>
      <c r="C243" s="256"/>
      <c r="D243" s="259"/>
      <c r="E243" s="259"/>
      <c r="F243" s="259"/>
      <c r="G243" s="259"/>
      <c r="H243" s="234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46" t="s">
        <v>316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t="55.2" hidden="1">
      <c r="B245" s="249" t="s">
        <v>287</v>
      </c>
      <c r="C245" s="256"/>
      <c r="D245" s="259"/>
      <c r="E245" s="259"/>
      <c r="F245" s="259"/>
      <c r="G245" s="259"/>
      <c r="H245" s="259"/>
      <c r="I245" s="259"/>
      <c r="J245" s="259"/>
      <c r="K245" s="259"/>
      <c r="L245" s="256"/>
      <c r="M245" s="259"/>
      <c r="N245" s="270"/>
      <c r="O245" s="259"/>
      <c r="P245" s="270"/>
      <c r="Q245" s="256"/>
      <c r="R245" s="256"/>
      <c r="S245" s="316"/>
      <c r="T245" s="267"/>
    </row>
    <row r="246" spans="1:20" ht="41.4" hidden="1">
      <c r="B246" s="249" t="s">
        <v>288</v>
      </c>
      <c r="C246" s="256"/>
      <c r="D246" s="259"/>
      <c r="E246" s="259"/>
      <c r="F246" s="259"/>
      <c r="G246" s="259"/>
      <c r="H246" s="259"/>
      <c r="I246" s="259"/>
      <c r="J246" s="259"/>
      <c r="K246" s="259"/>
      <c r="L246" s="256"/>
      <c r="M246" s="259"/>
      <c r="N246" s="267"/>
      <c r="O246" s="259"/>
      <c r="P246" s="259"/>
      <c r="Q246" s="256"/>
      <c r="R246" s="256"/>
      <c r="S246" s="316"/>
      <c r="T246" s="259"/>
    </row>
    <row r="247" spans="1:20" hidden="1">
      <c r="B247" s="271" t="s">
        <v>314</v>
      </c>
      <c r="C247" s="256"/>
      <c r="D247" s="259"/>
      <c r="E247" s="259"/>
      <c r="F247" s="259"/>
      <c r="G247" s="259"/>
      <c r="H247" s="259"/>
      <c r="I247" s="259"/>
      <c r="J247" s="259"/>
      <c r="K247" s="259"/>
      <c r="L247" s="256"/>
      <c r="M247" s="259"/>
      <c r="N247" s="267"/>
      <c r="O247" s="259"/>
      <c r="P247" s="259"/>
      <c r="Q247" s="256"/>
      <c r="R247" s="256"/>
      <c r="S247" s="316"/>
      <c r="T247" s="259"/>
    </row>
    <row r="248" spans="1:20" hidden="1"/>
    <row r="249" spans="1:20" hidden="1"/>
    <row r="250" spans="1:20" hidden="1">
      <c r="A250" s="260">
        <v>18</v>
      </c>
      <c r="B250" s="261" t="s">
        <v>310</v>
      </c>
      <c r="C250" s="475" t="s">
        <v>304</v>
      </c>
      <c r="D250" s="476"/>
      <c r="E250" s="476"/>
      <c r="F250" s="476"/>
      <c r="G250" s="477"/>
      <c r="H250" s="234" t="s">
        <v>306</v>
      </c>
      <c r="I250" s="234" t="s">
        <v>307</v>
      </c>
      <c r="J250" s="478" t="s">
        <v>308</v>
      </c>
      <c r="K250" s="479"/>
      <c r="L250" s="245" t="s">
        <v>311</v>
      </c>
      <c r="M250" s="234" t="s">
        <v>312</v>
      </c>
      <c r="N250" s="235"/>
      <c r="O250" s="235"/>
      <c r="P250" s="234"/>
      <c r="Q250" s="245"/>
      <c r="R250" s="245"/>
      <c r="S250" s="315"/>
      <c r="T250" s="234"/>
    </row>
    <row r="251" spans="1:20" hidden="1">
      <c r="B251" s="264" t="s">
        <v>305</v>
      </c>
      <c r="C251" s="256">
        <v>31</v>
      </c>
      <c r="D251" s="259">
        <v>32</v>
      </c>
      <c r="E251" s="259"/>
      <c r="F251" s="259"/>
      <c r="G251" s="259"/>
      <c r="H251" s="259">
        <v>76</v>
      </c>
      <c r="I251" s="259"/>
      <c r="J251" s="259"/>
      <c r="K251" s="259"/>
      <c r="L251" s="256"/>
      <c r="M251" s="259"/>
      <c r="N251" s="259"/>
      <c r="O251" s="259"/>
      <c r="P251" s="259"/>
      <c r="Q251" s="256"/>
      <c r="R251" s="316"/>
      <c r="S251" s="256"/>
      <c r="T251" s="259"/>
    </row>
    <row r="252" spans="1:20" hidden="1">
      <c r="B252" s="242" t="s">
        <v>225</v>
      </c>
      <c r="C252" s="256"/>
      <c r="D252" s="259"/>
      <c r="E252" s="259"/>
      <c r="F252" s="259"/>
      <c r="G252" s="259"/>
      <c r="H252" s="259"/>
      <c r="I252" s="259"/>
      <c r="J252" s="259"/>
      <c r="K252" s="259"/>
      <c r="L252" s="256"/>
      <c r="M252" s="259"/>
      <c r="N252" s="267"/>
      <c r="O252" s="267"/>
      <c r="P252" s="259"/>
      <c r="Q252" s="316"/>
      <c r="R252" s="256"/>
      <c r="S252" s="316"/>
      <c r="T252" s="267"/>
    </row>
    <row r="253" spans="1:20" hidden="1">
      <c r="B253" s="242" t="s">
        <v>225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67"/>
      <c r="O253" s="267"/>
      <c r="P253" s="259"/>
      <c r="Q253" s="256"/>
      <c r="R253" s="256"/>
      <c r="S253" s="316"/>
      <c r="T253" s="267"/>
    </row>
    <row r="254" spans="1:20" ht="27.6" hidden="1">
      <c r="B254" s="228" t="s">
        <v>282</v>
      </c>
      <c r="C254" s="256"/>
      <c r="D254" s="259"/>
      <c r="E254" s="259"/>
      <c r="F254" s="259"/>
      <c r="G254" s="259"/>
      <c r="H254" s="234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28" t="s">
        <v>316</v>
      </c>
      <c r="C255" s="256"/>
      <c r="D255" s="259"/>
      <c r="E255" s="259"/>
      <c r="F255" s="259"/>
      <c r="G255" s="259"/>
      <c r="H255" s="234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t="55.2" hidden="1">
      <c r="B256" s="249" t="s">
        <v>287</v>
      </c>
      <c r="C256" s="256"/>
      <c r="D256" s="259"/>
      <c r="E256" s="259"/>
      <c r="F256" s="259"/>
      <c r="G256" s="259"/>
      <c r="H256" s="259"/>
      <c r="I256" s="259"/>
      <c r="J256" s="259"/>
      <c r="K256" s="259"/>
      <c r="L256" s="256"/>
      <c r="M256" s="259"/>
      <c r="N256" s="270"/>
      <c r="O256" s="259"/>
      <c r="P256" s="270"/>
      <c r="Q256" s="256"/>
      <c r="R256" s="256"/>
      <c r="S256" s="316"/>
      <c r="T256" s="267"/>
    </row>
    <row r="257" spans="2:20" ht="41.4" hidden="1">
      <c r="B257" s="249" t="s">
        <v>288</v>
      </c>
      <c r="C257" s="256"/>
      <c r="D257" s="259"/>
      <c r="E257" s="259"/>
      <c r="F257" s="259"/>
      <c r="G257" s="259"/>
      <c r="H257" s="259"/>
      <c r="I257" s="259"/>
      <c r="J257" s="259"/>
      <c r="K257" s="259"/>
      <c r="L257" s="256"/>
      <c r="M257" s="259"/>
      <c r="N257" s="267"/>
      <c r="O257" s="259"/>
      <c r="P257" s="259"/>
      <c r="Q257" s="256"/>
      <c r="R257" s="256"/>
      <c r="S257" s="316"/>
      <c r="T257" s="259"/>
    </row>
    <row r="258" spans="2:20" hidden="1">
      <c r="B258" s="271" t="s">
        <v>314</v>
      </c>
      <c r="C258" s="256"/>
      <c r="D258" s="259"/>
      <c r="E258" s="259"/>
      <c r="F258" s="259"/>
      <c r="G258" s="259"/>
      <c r="H258" s="259"/>
      <c r="I258" s="259"/>
      <c r="J258" s="259"/>
      <c r="K258" s="259"/>
      <c r="L258" s="256"/>
      <c r="M258" s="259"/>
      <c r="N258" s="267"/>
      <c r="O258" s="259"/>
      <c r="P258" s="259"/>
      <c r="Q258" s="256"/>
      <c r="R258" s="256"/>
      <c r="S258" s="316"/>
      <c r="T258" s="259"/>
    </row>
    <row r="259" spans="2:20" hidden="1"/>
    <row r="260" spans="2:20" hidden="1"/>
    <row r="261" spans="2:20">
      <c r="N261" s="255"/>
      <c r="O261" s="255"/>
    </row>
    <row r="262" spans="2:20">
      <c r="Q262" s="236"/>
    </row>
    <row r="266" spans="2:20">
      <c r="S266" s="236"/>
    </row>
  </sheetData>
  <mergeCells count="40">
    <mergeCell ref="C228:G228"/>
    <mergeCell ref="J228:K228"/>
    <mergeCell ref="C239:G239"/>
    <mergeCell ref="J239:K239"/>
    <mergeCell ref="C250:G250"/>
    <mergeCell ref="J250:K250"/>
    <mergeCell ref="C196:G196"/>
    <mergeCell ref="J196:K196"/>
    <mergeCell ref="C206:G206"/>
    <mergeCell ref="J206:K206"/>
    <mergeCell ref="C217:G217"/>
    <mergeCell ref="J217:K217"/>
    <mergeCell ref="C165:G165"/>
    <mergeCell ref="J165:K165"/>
    <mergeCell ref="C175:G175"/>
    <mergeCell ref="J175:K175"/>
    <mergeCell ref="C185:G185"/>
    <mergeCell ref="J185:K185"/>
    <mergeCell ref="C136:G136"/>
    <mergeCell ref="J136:K136"/>
    <mergeCell ref="C146:G146"/>
    <mergeCell ref="J146:K146"/>
    <mergeCell ref="C154:G154"/>
    <mergeCell ref="J154:K154"/>
    <mergeCell ref="A7:V7"/>
    <mergeCell ref="E10:I10"/>
    <mergeCell ref="J10:M10"/>
    <mergeCell ref="N10:V10"/>
    <mergeCell ref="A124:M124"/>
    <mergeCell ref="N11:T11"/>
    <mergeCell ref="C15:C17"/>
    <mergeCell ref="C26:C27"/>
    <mergeCell ref="C28:C29"/>
    <mergeCell ref="C37:C38"/>
    <mergeCell ref="C48:C49"/>
    <mergeCell ref="C59:C60"/>
    <mergeCell ref="C68:C69"/>
    <mergeCell ref="C80:C82"/>
    <mergeCell ref="C84:C85"/>
    <mergeCell ref="C108:C109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topLeftCell="A22" workbookViewId="0">
      <selection activeCell="AM16" sqref="AM16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335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382</v>
      </c>
      <c r="L4" s="183"/>
      <c r="M4" s="183"/>
      <c r="R4" s="117"/>
    </row>
    <row r="5" spans="1:34">
      <c r="A5" s="431" t="s">
        <v>332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84" t="s">
        <v>3</v>
      </c>
      <c r="B7" s="484" t="s">
        <v>81</v>
      </c>
      <c r="C7" s="484" t="s">
        <v>4</v>
      </c>
      <c r="D7" s="488" t="s">
        <v>5</v>
      </c>
      <c r="E7" s="489"/>
      <c r="F7" s="489"/>
      <c r="G7" s="489"/>
      <c r="H7" s="490"/>
      <c r="I7" s="491" t="s">
        <v>6</v>
      </c>
      <c r="J7" s="458" t="s">
        <v>7</v>
      </c>
      <c r="K7" s="458"/>
      <c r="L7" s="458"/>
      <c r="M7" s="350"/>
      <c r="P7" s="480" t="s">
        <v>368</v>
      </c>
      <c r="Q7" s="480" t="s">
        <v>369</v>
      </c>
      <c r="R7" s="480" t="s">
        <v>366</v>
      </c>
      <c r="S7" s="480" t="s">
        <v>367</v>
      </c>
      <c r="T7" s="480" t="s">
        <v>370</v>
      </c>
      <c r="U7" s="480" t="s">
        <v>371</v>
      </c>
      <c r="V7" s="480" t="s">
        <v>374</v>
      </c>
      <c r="W7" s="480" t="s">
        <v>375</v>
      </c>
      <c r="X7" s="480" t="s">
        <v>398</v>
      </c>
      <c r="Y7" s="480" t="s">
        <v>399</v>
      </c>
      <c r="Z7" s="393"/>
    </row>
    <row r="8" spans="1:34" ht="21.6" customHeight="1">
      <c r="A8" s="485"/>
      <c r="B8" s="485"/>
      <c r="C8" s="485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334</v>
      </c>
      <c r="I8" s="491"/>
      <c r="J8" s="222" t="s">
        <v>205</v>
      </c>
      <c r="K8" s="222" t="s">
        <v>260</v>
      </c>
      <c r="L8" s="222" t="s">
        <v>334</v>
      </c>
      <c r="M8" s="351"/>
      <c r="P8" s="480"/>
      <c r="Q8" s="480"/>
      <c r="R8" s="480"/>
      <c r="S8" s="480"/>
      <c r="T8" s="480"/>
      <c r="U8" s="480"/>
      <c r="V8" s="480"/>
      <c r="W8" s="480"/>
      <c r="X8" s="480"/>
      <c r="Y8" s="480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357</v>
      </c>
      <c r="S9" s="385">
        <v>182795.33</v>
      </c>
      <c r="U9" s="385">
        <v>288911</v>
      </c>
      <c r="W9" s="403">
        <v>11366.666670000001</v>
      </c>
      <c r="X9" s="385"/>
      <c r="Y9" s="403">
        <v>8333.3333299999995</v>
      </c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358</v>
      </c>
      <c r="S10" s="323" t="s">
        <v>358</v>
      </c>
      <c r="U10" s="323" t="s">
        <v>358</v>
      </c>
      <c r="W10" s="323" t="s">
        <v>358</v>
      </c>
      <c r="X10" s="323"/>
      <c r="Y10" s="323"/>
      <c r="Z10" s="323"/>
    </row>
    <row r="11" spans="1:34" ht="73.95" customHeight="1">
      <c r="A11" s="372" t="s">
        <v>157</v>
      </c>
      <c r="B11" s="373" t="s">
        <v>352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221.75029305555555</v>
      </c>
      <c r="J11" s="371">
        <f>4298400+182795.33+288911+11366.66667+8333.33333</f>
        <v>4789806.33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192"/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31">
        <f>Y11/D11</f>
        <v>221.75029305555555</v>
      </c>
      <c r="Y11" s="324">
        <f>W11+$Y$9</f>
        <v>4789806.33</v>
      </c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229.88294661060144</v>
      </c>
      <c r="J12" s="371">
        <f>3116836.4+182795.33+288911+11366.66667+8333.33333</f>
        <v>3608242.73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192"/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31">
        <f t="shared" ref="X12:X16" si="9">Y12/D12</f>
        <v>229.88294661060144</v>
      </c>
      <c r="Y12" s="324">
        <f t="shared" ref="Y12:Y16" si="10">W12+$Y$9</f>
        <v>3608242.73</v>
      </c>
      <c r="Z12" s="324"/>
    </row>
    <row r="13" spans="1:34" ht="71.400000000000006" customHeight="1">
      <c r="A13" s="372" t="s">
        <v>157</v>
      </c>
      <c r="B13" s="373" t="s">
        <v>292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267.45087916666665</v>
      </c>
      <c r="J13" s="371">
        <f>1434240+182795.33+288911+11366.66667+8333.33333</f>
        <v>1925646.33</v>
      </c>
      <c r="K13" s="371">
        <f t="shared" si="1"/>
        <v>3007439.9966666671</v>
      </c>
      <c r="L13" s="371">
        <f t="shared" si="4"/>
        <v>3007439.9966666671</v>
      </c>
      <c r="M13" s="354"/>
      <c r="N13" s="192"/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31">
        <f t="shared" si="9"/>
        <v>267.45087916666665</v>
      </c>
      <c r="Y13" s="324">
        <f t="shared" si="10"/>
        <v>1925646.33</v>
      </c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238.87757598039218</v>
      </c>
      <c r="J14" s="371">
        <f>2432455.2+182795.33+288911+11366.66667+8333.33333</f>
        <v>2923861.5300000003</v>
      </c>
      <c r="K14" s="371">
        <f t="shared" si="1"/>
        <v>4005655.1966666672</v>
      </c>
      <c r="L14" s="371">
        <f t="shared" si="4"/>
        <v>4005655.1966666672</v>
      </c>
      <c r="M14" s="354"/>
      <c r="N14" s="192"/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31">
        <f t="shared" si="9"/>
        <v>238.87757598039218</v>
      </c>
      <c r="Y14" s="324">
        <f t="shared" si="10"/>
        <v>2923861.5300000003</v>
      </c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212.42735969781066</v>
      </c>
      <c r="J15" s="371">
        <f>7775416.8+182795.33+288911+11366.66667+8333.33333</f>
        <v>8266823.1299999999</v>
      </c>
      <c r="K15" s="371">
        <f t="shared" si="1"/>
        <v>9348616.7966666669</v>
      </c>
      <c r="L15" s="371">
        <f t="shared" si="4"/>
        <v>9348616.7966666669</v>
      </c>
      <c r="M15" s="354"/>
      <c r="N15" s="192"/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31">
        <f t="shared" si="9"/>
        <v>212.42735969781066</v>
      </c>
      <c r="Y15" s="324">
        <f t="shared" si="10"/>
        <v>8266823.1299999999</v>
      </c>
      <c r="Z15" s="324"/>
      <c r="AD15" s="323" t="s">
        <v>363</v>
      </c>
      <c r="AG15" s="323" t="s">
        <v>363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219.86519687162891</v>
      </c>
      <c r="J16" s="371">
        <f>3584894.4+182795.35+288911+11366.66667+8333.33333</f>
        <v>4076300.75</v>
      </c>
      <c r="K16" s="371">
        <f t="shared" si="1"/>
        <v>5158094.3966666665</v>
      </c>
      <c r="L16" s="371">
        <f t="shared" si="4"/>
        <v>5158094.3966666665</v>
      </c>
      <c r="M16" s="354"/>
      <c r="N16" s="204"/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31">
        <f t="shared" si="9"/>
        <v>219.86519579288026</v>
      </c>
      <c r="Y16" s="324">
        <f t="shared" si="10"/>
        <v>4076300.73</v>
      </c>
      <c r="Z16" s="324"/>
      <c r="AB16" s="347" t="s">
        <v>362</v>
      </c>
      <c r="AC16" s="338" t="s">
        <v>360</v>
      </c>
      <c r="AD16" s="366">
        <f>D11+D12+D13+D14+D15+D16</f>
        <v>114192</v>
      </c>
      <c r="AE16" s="339">
        <f>AE17/AD16</f>
        <v>6.1007562701415372</v>
      </c>
      <c r="AF16" s="340" t="s">
        <v>361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231.70941189710925</v>
      </c>
      <c r="J17" s="375">
        <f>SUM(J11:J16)</f>
        <v>25590680.800000001</v>
      </c>
      <c r="K17" s="375">
        <f>SUM(K11:K16)+0.02</f>
        <v>32081442.800000001</v>
      </c>
      <c r="L17" s="375">
        <f>SUM(L11:L16)+0.02</f>
        <v>32081442.800000001</v>
      </c>
      <c r="M17" s="359"/>
      <c r="N17" s="192"/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W17" s="332">
        <f>SUM(W11:W16)+0.02</f>
        <v>25540680.800020002</v>
      </c>
      <c r="Y17" s="332">
        <f>SUM(Y11:Y16)+0.02</f>
        <v>25590680.800000001</v>
      </c>
      <c r="AA17" s="360" t="s">
        <v>364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356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11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359</v>
      </c>
      <c r="T18" s="398" t="s">
        <v>380</v>
      </c>
      <c r="U18" s="399">
        <f>U35</f>
        <v>25472480.800000001</v>
      </c>
      <c r="V18" s="400" t="s">
        <v>381</v>
      </c>
      <c r="W18" s="390">
        <f>U40</f>
        <v>25540680.800000001</v>
      </c>
      <c r="X18" s="406" t="s">
        <v>400</v>
      </c>
      <c r="Y18" s="407">
        <f>U43</f>
        <v>25590680.800000001</v>
      </c>
      <c r="AA18" s="360" t="s">
        <v>365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325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11"/>
        <v>0</v>
      </c>
      <c r="I19" s="371">
        <f>105.5+7.38-4.864022</f>
        <v>108.01597799999999</v>
      </c>
      <c r="J19" s="371">
        <f t="shared" ref="J19:J23" si="12">D19*I19</f>
        <v>886595.14742399997</v>
      </c>
      <c r="K19" s="371">
        <f t="shared" ref="K19:K23" si="13">G19*I19</f>
        <v>0</v>
      </c>
      <c r="L19" s="371">
        <f t="shared" ref="L19:L23" si="14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1">
        <f>(U18-S17)/6</f>
        <v>288911</v>
      </c>
      <c r="W19" s="402">
        <f>(W18-U17)/6</f>
        <v>11366.666666666666</v>
      </c>
      <c r="Y19" s="408">
        <f>(Y18-W17)/6</f>
        <v>8333.3333299998194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326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11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3"/>
        <v>0</v>
      </c>
      <c r="L20" s="371">
        <f t="shared" si="14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327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11"/>
        <v>0</v>
      </c>
      <c r="I21" s="371">
        <f>105.05+7.93-4.864022</f>
        <v>108.11597799999998</v>
      </c>
      <c r="J21" s="371">
        <f t="shared" si="12"/>
        <v>2101774.6123199998</v>
      </c>
      <c r="K21" s="371">
        <f t="shared" si="13"/>
        <v>0</v>
      </c>
      <c r="L21" s="371">
        <f t="shared" si="14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329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11"/>
        <v>0</v>
      </c>
      <c r="I22" s="371">
        <f>105.55+7.4-4.864022</f>
        <v>108.085978</v>
      </c>
      <c r="J22" s="371">
        <f t="shared" si="12"/>
        <v>1984458.55608</v>
      </c>
      <c r="K22" s="371">
        <f t="shared" si="13"/>
        <v>0</v>
      </c>
      <c r="L22" s="371">
        <f t="shared" si="14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328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11"/>
        <v>0</v>
      </c>
      <c r="I23" s="371">
        <f>103+9.85-4.864022</f>
        <v>107.98597799999999</v>
      </c>
      <c r="J23" s="371">
        <f t="shared" si="12"/>
        <v>1932085.1183759999</v>
      </c>
      <c r="K23" s="371">
        <f t="shared" si="13"/>
        <v>0</v>
      </c>
      <c r="L23" s="371">
        <f t="shared" si="14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330</v>
      </c>
      <c r="C24" s="296"/>
      <c r="D24" s="337">
        <f>SUM(D18:D23)</f>
        <v>82260</v>
      </c>
      <c r="E24" s="337">
        <f t="shared" ref="E24:L24" si="15">SUM(E18:E23)</f>
        <v>0</v>
      </c>
      <c r="F24" s="337">
        <f t="shared" si="15"/>
        <v>0</v>
      </c>
      <c r="G24" s="337">
        <f t="shared" si="15"/>
        <v>0</v>
      </c>
      <c r="H24" s="337">
        <f t="shared" si="15"/>
        <v>0</v>
      </c>
      <c r="I24" s="375">
        <f>AVERAGE(I18:I23)</f>
        <v>108.06431133333335</v>
      </c>
      <c r="J24" s="375">
        <f t="shared" si="15"/>
        <v>8889750.3602799997</v>
      </c>
      <c r="K24" s="375">
        <f t="shared" si="15"/>
        <v>0</v>
      </c>
      <c r="L24" s="375">
        <f t="shared" si="15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86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6">K25</f>
        <v>116293.62</v>
      </c>
      <c r="M25" s="354"/>
      <c r="N25" s="192"/>
      <c r="AA25" s="349"/>
    </row>
    <row r="26" spans="1:35" ht="45.6" customHeight="1">
      <c r="A26" s="487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372</v>
      </c>
      <c r="V27" s="323" t="s">
        <v>373</v>
      </c>
    </row>
    <row r="28" spans="1:35" ht="22.95" hidden="1" customHeight="1">
      <c r="A28" s="372" t="s">
        <v>157</v>
      </c>
      <c r="B28" s="373" t="s">
        <v>285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291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284</v>
      </c>
      <c r="C30" s="373" t="s">
        <v>20</v>
      </c>
      <c r="D30" s="373">
        <f>21+11</f>
        <v>32</v>
      </c>
      <c r="E30" s="373">
        <f t="shared" ref="E30:H31" si="17">21+11</f>
        <v>32</v>
      </c>
      <c r="F30" s="373">
        <f t="shared" si="17"/>
        <v>32</v>
      </c>
      <c r="G30" s="373">
        <f t="shared" si="17"/>
        <v>32</v>
      </c>
      <c r="H30" s="373">
        <f t="shared" si="17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7"/>
        <v>32</v>
      </c>
      <c r="F31" s="373">
        <f t="shared" si="17"/>
        <v>32</v>
      </c>
      <c r="G31" s="373">
        <f t="shared" si="17"/>
        <v>32</v>
      </c>
      <c r="H31" s="373">
        <f t="shared" si="17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81" t="s">
        <v>230</v>
      </c>
      <c r="B32" s="482"/>
      <c r="C32" s="483"/>
      <c r="D32" s="373"/>
      <c r="E32" s="373"/>
      <c r="F32" s="373"/>
      <c r="G32" s="373"/>
      <c r="H32" s="373"/>
      <c r="I32" s="377"/>
      <c r="J32" s="380">
        <f>J17+J24+J27</f>
        <v>39423588.360280007</v>
      </c>
      <c r="K32" s="380">
        <f t="shared" ref="K32:L32" si="18">K17+K24+K27</f>
        <v>37024600</v>
      </c>
      <c r="L32" s="380">
        <f t="shared" si="18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377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378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6" t="s">
        <v>379</v>
      </c>
      <c r="U35" s="397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372</v>
      </c>
    </row>
    <row r="38" spans="1:26" ht="20.399999999999999">
      <c r="J38" s="192"/>
      <c r="K38" s="192"/>
      <c r="L38" s="192"/>
      <c r="M38" s="192"/>
      <c r="U38" s="395" t="s">
        <v>376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413" t="s">
        <v>379</v>
      </c>
      <c r="U40" s="414">
        <f>U39-U33-U34</f>
        <v>25540680.800000001</v>
      </c>
    </row>
    <row r="41" spans="1:26" ht="20.399999999999999">
      <c r="J41" s="192"/>
      <c r="K41" s="192"/>
      <c r="L41" s="192"/>
      <c r="M41" s="192"/>
      <c r="U41" s="409" t="s">
        <v>401</v>
      </c>
    </row>
    <row r="42" spans="1:26">
      <c r="J42" s="192"/>
      <c r="K42" s="192"/>
      <c r="L42" s="192"/>
      <c r="M42" s="192"/>
      <c r="U42" s="410">
        <v>39423588.359999999</v>
      </c>
    </row>
    <row r="43" spans="1:26">
      <c r="J43" s="192"/>
      <c r="K43" s="192"/>
      <c r="L43" s="192"/>
      <c r="M43" s="192"/>
      <c r="T43" s="411" t="s">
        <v>379</v>
      </c>
      <c r="U43" s="412">
        <f>U42-U33-U34</f>
        <v>25590680.800000001</v>
      </c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9">D11</f>
        <v>21600</v>
      </c>
      <c r="J62" s="187">
        <f t="shared" ref="J62:J67" si="20">I62*$J$61</f>
        <v>1530065.0693568725</v>
      </c>
      <c r="K62" s="187">
        <f t="shared" ref="K62:K67" si="21">I62*$K$61</f>
        <v>1163058.0075662043</v>
      </c>
    </row>
    <row r="63" spans="9:13" s="189" customFormat="1" hidden="1">
      <c r="I63" s="189">
        <f t="shared" si="19"/>
        <v>15696</v>
      </c>
      <c r="J63" s="187">
        <f t="shared" si="20"/>
        <v>1111847.2837326608</v>
      </c>
      <c r="K63" s="187">
        <f t="shared" si="21"/>
        <v>845155.48549810844</v>
      </c>
    </row>
    <row r="64" spans="9:13" s="189" customFormat="1" hidden="1">
      <c r="I64" s="189">
        <f t="shared" si="19"/>
        <v>7200</v>
      </c>
      <c r="J64" s="187">
        <f t="shared" si="20"/>
        <v>510021.68978562416</v>
      </c>
      <c r="K64" s="187">
        <f t="shared" si="21"/>
        <v>387686.0025220681</v>
      </c>
    </row>
    <row r="65" spans="9:11" s="189" customFormat="1" hidden="1">
      <c r="I65" s="189">
        <f t="shared" si="19"/>
        <v>12240</v>
      </c>
      <c r="J65" s="187">
        <f t="shared" si="20"/>
        <v>867036.87263556104</v>
      </c>
      <c r="K65" s="187">
        <f t="shared" si="21"/>
        <v>659066.20428751572</v>
      </c>
    </row>
    <row r="66" spans="9:11" s="189" customFormat="1" hidden="1">
      <c r="I66" s="189">
        <f t="shared" si="19"/>
        <v>38916</v>
      </c>
      <c r="J66" s="187">
        <f t="shared" si="20"/>
        <v>2756667.2332912986</v>
      </c>
      <c r="K66" s="187">
        <f t="shared" si="21"/>
        <v>2095442.8436317779</v>
      </c>
    </row>
    <row r="67" spans="9:11" s="189" customFormat="1" hidden="1">
      <c r="I67" s="189">
        <f t="shared" si="19"/>
        <v>18540</v>
      </c>
      <c r="J67" s="187">
        <f t="shared" si="20"/>
        <v>1313305.8511979822</v>
      </c>
      <c r="K67" s="187">
        <f t="shared" si="21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9">
    <mergeCell ref="A5:L5"/>
    <mergeCell ref="D7:H7"/>
    <mergeCell ref="I7:I8"/>
    <mergeCell ref="J7:L7"/>
    <mergeCell ref="R7:R8"/>
    <mergeCell ref="P7:P8"/>
    <mergeCell ref="Q7:Q8"/>
    <mergeCell ref="X7:X8"/>
    <mergeCell ref="Y7:Y8"/>
    <mergeCell ref="A32:C32"/>
    <mergeCell ref="B7:B8"/>
    <mergeCell ref="A7:A8"/>
    <mergeCell ref="C7:C8"/>
    <mergeCell ref="A25:A26"/>
    <mergeCell ref="V7:V8"/>
    <mergeCell ref="W7:W8"/>
    <mergeCell ref="S7:S8"/>
    <mergeCell ref="T7:T8"/>
    <mergeCell ref="U7:U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2021-07-29T08:40:22Z</cp:lastPrinted>
  <dcterms:created xsi:type="dcterms:W3CDTF">2018-11-21T04:22:49Z</dcterms:created>
  <dcterms:modified xsi:type="dcterms:W3CDTF">2021-10-25T03:28:55Z</dcterms:modified>
</cp:coreProperties>
</file>