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T128" i="14"/>
  <c r="T14"/>
  <c r="T13"/>
  <c r="T127" s="1"/>
  <c r="Q111"/>
  <c r="Q14"/>
  <c r="S127"/>
  <c r="N91" l="1"/>
  <c r="Q94"/>
  <c r="N94"/>
  <c r="K94"/>
  <c r="O94" s="1"/>
  <c r="J94"/>
  <c r="M94" s="1"/>
  <c r="Q98"/>
  <c r="K98"/>
  <c r="J98"/>
  <c r="N98" s="1"/>
  <c r="T98" s="1"/>
  <c r="U98" s="1"/>
  <c r="V98" s="1"/>
  <c r="G21"/>
  <c r="T94" l="1"/>
  <c r="U94" s="1"/>
  <c r="V94" s="1"/>
  <c r="O14"/>
  <c r="N14"/>
  <c r="Q18"/>
  <c r="N18"/>
  <c r="M18"/>
  <c r="K18"/>
  <c r="O18" s="1"/>
  <c r="J16" i="11"/>
  <c r="J15"/>
  <c r="J14"/>
  <c r="J13"/>
  <c r="J12"/>
  <c r="J11"/>
  <c r="Y12"/>
  <c r="Y13"/>
  <c r="Y14"/>
  <c r="Y15"/>
  <c r="Y16"/>
  <c r="Y11"/>
  <c r="Z11"/>
  <c r="Z17"/>
  <c r="Z15"/>
  <c r="Z16"/>
  <c r="Z12"/>
  <c r="Z13"/>
  <c r="Z14"/>
  <c r="Z9"/>
  <c r="X12"/>
  <c r="V23"/>
  <c r="T18" i="14" l="1"/>
  <c r="U18" s="1"/>
  <c r="V18" s="1"/>
  <c r="X18" i="11"/>
  <c r="K23"/>
  <c r="L23"/>
  <c r="L21"/>
  <c r="L22"/>
  <c r="K21"/>
  <c r="K22"/>
  <c r="L19"/>
  <c r="L20"/>
  <c r="K19"/>
  <c r="K20"/>
  <c r="L18"/>
  <c r="K18"/>
  <c r="D24"/>
  <c r="D27"/>
  <c r="D28"/>
  <c r="D30"/>
  <c r="X19"/>
  <c r="X20"/>
  <c r="X21"/>
  <c r="X22"/>
  <c r="X23"/>
  <c r="W24"/>
  <c r="W23"/>
  <c r="W22"/>
  <c r="W19"/>
  <c r="W20"/>
  <c r="W21"/>
  <c r="W18"/>
  <c r="W46"/>
  <c r="W45"/>
  <c r="J21"/>
  <c r="J22"/>
  <c r="J23"/>
  <c r="I23"/>
  <c r="I22"/>
  <c r="I21"/>
  <c r="I20"/>
  <c r="I19"/>
  <c r="I18"/>
  <c r="U21"/>
  <c r="T18"/>
  <c r="T19"/>
  <c r="T20"/>
  <c r="T21"/>
  <c r="T22"/>
  <c r="T23"/>
  <c r="U23"/>
  <c r="U22"/>
  <c r="U20"/>
  <c r="U19"/>
  <c r="U18"/>
  <c r="L11"/>
  <c r="K11"/>
  <c r="L12"/>
  <c r="L13"/>
  <c r="L14"/>
  <c r="L15"/>
  <c r="L16"/>
  <c r="K16"/>
  <c r="K13"/>
  <c r="K14"/>
  <c r="K15"/>
  <c r="K12"/>
  <c r="U49"/>
  <c r="U48"/>
  <c r="V46"/>
  <c r="U46"/>
  <c r="V44"/>
  <c r="U44"/>
  <c r="U24" l="1"/>
  <c r="U11"/>
  <c r="U17" s="1"/>
  <c r="T12"/>
  <c r="T13"/>
  <c r="T14"/>
  <c r="T15"/>
  <c r="T16"/>
  <c r="U16"/>
  <c r="U12"/>
  <c r="U13"/>
  <c r="U14"/>
  <c r="U15"/>
  <c r="V20"/>
  <c r="V19"/>
  <c r="V24"/>
  <c r="U27"/>
  <c r="T11"/>
  <c r="S40"/>
  <c r="R42"/>
  <c r="J18"/>
  <c r="Q42"/>
  <c r="Q41"/>
  <c r="Q51" i="14" l="1"/>
  <c r="Q52"/>
  <c r="Q49"/>
  <c r="P16" i="11"/>
  <c r="Q16" s="1"/>
  <c r="P15"/>
  <c r="Q15" s="1"/>
  <c r="P14"/>
  <c r="Q14" s="1"/>
  <c r="Q13"/>
  <c r="P13"/>
  <c r="R39"/>
  <c r="Q37"/>
  <c r="P12"/>
  <c r="Q12" s="1"/>
  <c r="P11"/>
  <c r="Q11" s="1"/>
  <c r="R206" i="4" l="1"/>
  <c r="R199"/>
  <c r="R198"/>
  <c r="R190"/>
  <c r="R189"/>
  <c r="M176"/>
  <c r="M173"/>
  <c r="M172"/>
  <c r="M169"/>
  <c r="M164"/>
  <c r="M163"/>
  <c r="M160"/>
  <c r="M151"/>
  <c r="M136"/>
  <c r="M134"/>
  <c r="M127"/>
  <c r="M125"/>
  <c r="M116"/>
  <c r="M104"/>
  <c r="M103"/>
  <c r="M100"/>
  <c r="M93"/>
  <c r="M91"/>
  <c r="M83"/>
  <c r="M71"/>
  <c r="M68"/>
  <c r="M66"/>
  <c r="M59"/>
  <c r="M57"/>
  <c r="M48"/>
  <c r="M36"/>
  <c r="M32"/>
  <c r="M30"/>
  <c r="M24"/>
  <c r="M22"/>
  <c r="M12"/>
  <c r="F116" i="14"/>
  <c r="H101"/>
  <c r="I101"/>
  <c r="E101"/>
  <c r="F101"/>
  <c r="H77"/>
  <c r="I77"/>
  <c r="E77"/>
  <c r="F77"/>
  <c r="O206" i="4" l="1"/>
  <c r="O199"/>
  <c r="O198"/>
  <c r="O190"/>
  <c r="O189"/>
  <c r="K203"/>
  <c r="K195"/>
  <c r="K176"/>
  <c r="K173"/>
  <c r="K172"/>
  <c r="K169"/>
  <c r="K164"/>
  <c r="K163"/>
  <c r="K160"/>
  <c r="K151"/>
  <c r="K139"/>
  <c r="K136"/>
  <c r="K134"/>
  <c r="K127"/>
  <c r="K125"/>
  <c r="K116"/>
  <c r="K83"/>
  <c r="K98"/>
  <c r="K104"/>
  <c r="K100"/>
  <c r="K93"/>
  <c r="K91"/>
  <c r="K71"/>
  <c r="K68"/>
  <c r="K66"/>
  <c r="K59"/>
  <c r="K57"/>
  <c r="K48"/>
  <c r="K36"/>
  <c r="K32"/>
  <c r="K30"/>
  <c r="K24"/>
  <c r="K22"/>
  <c r="K12"/>
  <c r="P206"/>
  <c r="P199"/>
  <c r="P190"/>
  <c r="P198"/>
  <c r="P189"/>
  <c r="J178"/>
  <c r="J20" i="11" l="1"/>
  <c r="J19"/>
  <c r="Q27"/>
  <c r="O27"/>
  <c r="O24"/>
  <c r="Q24"/>
  <c r="G13"/>
  <c r="H13" s="1"/>
  <c r="G12"/>
  <c r="H12" s="1"/>
  <c r="G11"/>
  <c r="H11" s="1"/>
  <c r="Q39"/>
  <c r="S39" s="1"/>
  <c r="Q17"/>
  <c r="Q32" s="1"/>
  <c r="O17"/>
  <c r="AD17"/>
  <c r="R40" l="1"/>
  <c r="AJ43"/>
  <c r="AN18" s="1"/>
  <c r="J113" i="14"/>
  <c r="J111"/>
  <c r="G112"/>
  <c r="J100"/>
  <c r="K99"/>
  <c r="K93"/>
  <c r="M93" s="1"/>
  <c r="G93"/>
  <c r="Q93" s="1"/>
  <c r="J96"/>
  <c r="J92"/>
  <c r="G97"/>
  <c r="Q97" s="1"/>
  <c r="G82"/>
  <c r="G83"/>
  <c r="G85"/>
  <c r="G86"/>
  <c r="K74"/>
  <c r="M74" s="1"/>
  <c r="O74"/>
  <c r="G70"/>
  <c r="G77" s="1"/>
  <c r="G72"/>
  <c r="G73"/>
  <c r="J62"/>
  <c r="J61"/>
  <c r="J60"/>
  <c r="G61"/>
  <c r="G50"/>
  <c r="Q50" s="1"/>
  <c r="Q48" s="1"/>
  <c r="G101" l="1"/>
  <c r="N99"/>
  <c r="T99" s="1"/>
  <c r="U99" s="1"/>
  <c r="V99" s="1"/>
  <c r="Q99"/>
  <c r="S11" i="11"/>
  <c r="S13"/>
  <c r="R13"/>
  <c r="R12"/>
  <c r="R11"/>
  <c r="S12"/>
  <c r="O93" i="14"/>
  <c r="N93"/>
  <c r="N74"/>
  <c r="Q74"/>
  <c r="G39"/>
  <c r="Q40"/>
  <c r="J27"/>
  <c r="E34"/>
  <c r="J31"/>
  <c r="F34"/>
  <c r="G33"/>
  <c r="G32"/>
  <c r="J30"/>
  <c r="G28"/>
  <c r="G17"/>
  <c r="Q16"/>
  <c r="E45"/>
  <c r="F45"/>
  <c r="H45"/>
  <c r="T74" l="1"/>
  <c r="T93"/>
  <c r="U93" s="1"/>
  <c r="V93" s="1"/>
  <c r="U74"/>
  <c r="V74" s="1"/>
  <c r="G45"/>
  <c r="G211" i="4"/>
  <c r="U51"/>
  <c r="T51"/>
  <c r="W74" i="14" l="1"/>
  <c r="J51" i="4"/>
  <c r="G51"/>
  <c r="O51" s="1"/>
  <c r="N51" s="1"/>
  <c r="U28" l="1"/>
  <c r="T28"/>
  <c r="J28"/>
  <c r="G28"/>
  <c r="O28" s="1"/>
  <c r="N28" s="1"/>
  <c r="AJ40" i="11"/>
  <c r="AL18" s="1"/>
  <c r="AJ35"/>
  <c r="AK35"/>
  <c r="T178" i="4" l="1"/>
  <c r="AL35" i="11"/>
  <c r="AL36" s="1"/>
  <c r="AJ18"/>
  <c r="AF18"/>
  <c r="I11"/>
  <c r="I16" l="1"/>
  <c r="I15"/>
  <c r="I14"/>
  <c r="I13"/>
  <c r="I12"/>
  <c r="AW18"/>
  <c r="AW20" s="1"/>
  <c r="AV18"/>
  <c r="AT18"/>
  <c r="AS18"/>
  <c r="AS17"/>
  <c r="AV16"/>
  <c r="AT17"/>
  <c r="AS16"/>
  <c r="AW17"/>
  <c r="AV17"/>
  <c r="AW16" l="1"/>
  <c r="AT16"/>
  <c r="AT19"/>
  <c r="AW19"/>
  <c r="N121" i="14" l="1"/>
  <c r="N113"/>
  <c r="J112"/>
  <c r="N112" s="1"/>
  <c r="N111"/>
  <c r="N106"/>
  <c r="N100"/>
  <c r="N96"/>
  <c r="N92"/>
  <c r="N97"/>
  <c r="N95"/>
  <c r="N87"/>
  <c r="N86"/>
  <c r="N85"/>
  <c r="N84"/>
  <c r="N83"/>
  <c r="N82"/>
  <c r="N76"/>
  <c r="N75"/>
  <c r="N71"/>
  <c r="N70"/>
  <c r="N61"/>
  <c r="N60"/>
  <c r="N52"/>
  <c r="N51"/>
  <c r="N50"/>
  <c r="N40"/>
  <c r="N39"/>
  <c r="N31"/>
  <c r="N30"/>
  <c r="J29"/>
  <c r="J28"/>
  <c r="N27"/>
  <c r="N19"/>
  <c r="N17"/>
  <c r="N16"/>
  <c r="N90" l="1"/>
  <c r="AE23" i="11"/>
  <c r="AE22"/>
  <c r="AE21"/>
  <c r="AF21" s="1"/>
  <c r="AE20"/>
  <c r="AF20" s="1"/>
  <c r="AE19"/>
  <c r="AF19" s="1"/>
  <c r="AF22"/>
  <c r="AF23"/>
  <c r="AH19"/>
  <c r="AF17"/>
  <c r="AG17"/>
  <c r="AD24"/>
  <c r="AF24" l="1"/>
  <c r="I17"/>
  <c r="H23" l="1"/>
  <c r="H22"/>
  <c r="H21"/>
  <c r="H20"/>
  <c r="H19"/>
  <c r="K97" i="14" l="1"/>
  <c r="K100"/>
  <c r="O100" s="1"/>
  <c r="K96"/>
  <c r="K121"/>
  <c r="O121" s="1"/>
  <c r="K122"/>
  <c r="K123"/>
  <c r="K120"/>
  <c r="O120" s="1"/>
  <c r="K113"/>
  <c r="O113" s="1"/>
  <c r="K112"/>
  <c r="O112" s="1"/>
  <c r="K111"/>
  <c r="O111" s="1"/>
  <c r="K106"/>
  <c r="O106" s="1"/>
  <c r="K105"/>
  <c r="O105" s="1"/>
  <c r="K95"/>
  <c r="O95" s="1"/>
  <c r="K92"/>
  <c r="O92" s="1"/>
  <c r="K89"/>
  <c r="K88"/>
  <c r="K84"/>
  <c r="O84" s="1"/>
  <c r="K83"/>
  <c r="O83" s="1"/>
  <c r="K82"/>
  <c r="O82" s="1"/>
  <c r="K81"/>
  <c r="K70"/>
  <c r="O70" s="1"/>
  <c r="K71"/>
  <c r="O71" s="1"/>
  <c r="K69"/>
  <c r="O69" s="1"/>
  <c r="K61"/>
  <c r="O61" s="1"/>
  <c r="K62"/>
  <c r="K60"/>
  <c r="O60" s="1"/>
  <c r="K52"/>
  <c r="O52" s="1"/>
  <c r="K50"/>
  <c r="O50" s="1"/>
  <c r="K51"/>
  <c r="O51" s="1"/>
  <c r="K49"/>
  <c r="O49" s="1"/>
  <c r="K40"/>
  <c r="O40" s="1"/>
  <c r="K39"/>
  <c r="O39" s="1"/>
  <c r="K38"/>
  <c r="O38" s="1"/>
  <c r="K30"/>
  <c r="O30" s="1"/>
  <c r="K31"/>
  <c r="O31" s="1"/>
  <c r="K28"/>
  <c r="K29"/>
  <c r="K27"/>
  <c r="O27" s="1"/>
  <c r="K16" l="1"/>
  <c r="O16" s="1"/>
  <c r="K17"/>
  <c r="O17" s="1"/>
  <c r="K19"/>
  <c r="O19" s="1"/>
  <c r="K20"/>
  <c r="K15"/>
  <c r="I107" l="1"/>
  <c r="H107"/>
  <c r="T192" i="4"/>
  <c r="U192" s="1"/>
  <c r="U155"/>
  <c r="T155"/>
  <c r="U62"/>
  <c r="U61"/>
  <c r="T62"/>
  <c r="T61"/>
  <c r="T15"/>
  <c r="R179" l="1"/>
  <c r="P203"/>
  <c r="O211"/>
  <c r="O203"/>
  <c r="O118"/>
  <c r="O71"/>
  <c r="O56"/>
  <c r="S126" i="14" l="1"/>
  <c r="S117"/>
  <c r="S108"/>
  <c r="S102"/>
  <c r="S89"/>
  <c r="S78"/>
  <c r="S66"/>
  <c r="S57"/>
  <c r="S46"/>
  <c r="S35"/>
  <c r="S22"/>
  <c r="U126" l="1"/>
  <c r="AA119" s="1"/>
  <c r="S13"/>
  <c r="C349" i="4"/>
  <c r="O345"/>
  <c r="N345"/>
  <c r="N346" s="1"/>
  <c r="N347" s="1"/>
  <c r="M345"/>
  <c r="O342"/>
  <c r="O346" s="1"/>
  <c r="O347" s="1"/>
  <c r="N342"/>
  <c r="M342"/>
  <c r="P342" s="1"/>
  <c r="L341"/>
  <c r="C334"/>
  <c r="P330"/>
  <c r="O330"/>
  <c r="O331" s="1"/>
  <c r="O332" s="1"/>
  <c r="N330"/>
  <c r="P327"/>
  <c r="P331" s="1"/>
  <c r="P332" s="1"/>
  <c r="O327"/>
  <c r="N327"/>
  <c r="Q327" s="1"/>
  <c r="M326"/>
  <c r="C321"/>
  <c r="N317"/>
  <c r="M317"/>
  <c r="M318" s="1"/>
  <c r="M319" s="1"/>
  <c r="L317"/>
  <c r="N314"/>
  <c r="N318" s="1"/>
  <c r="N319" s="1"/>
  <c r="M314"/>
  <c r="L314"/>
  <c r="O314" s="1"/>
  <c r="K313"/>
  <c r="C308"/>
  <c r="N304"/>
  <c r="M304"/>
  <c r="M305" s="1"/>
  <c r="M306" s="1"/>
  <c r="L304"/>
  <c r="N301"/>
  <c r="N305" s="1"/>
  <c r="N306" s="1"/>
  <c r="M301"/>
  <c r="L301"/>
  <c r="O301" s="1"/>
  <c r="K300"/>
  <c r="C295"/>
  <c r="N291"/>
  <c r="M291"/>
  <c r="M292" s="1"/>
  <c r="M293" s="1"/>
  <c r="L291"/>
  <c r="N288"/>
  <c r="N289" s="1"/>
  <c r="M288"/>
  <c r="L288"/>
  <c r="O288" s="1"/>
  <c r="K287"/>
  <c r="C279"/>
  <c r="N275"/>
  <c r="M275"/>
  <c r="M276" s="1"/>
  <c r="M277" s="1"/>
  <c r="L275"/>
  <c r="N272"/>
  <c r="N276" s="1"/>
  <c r="N277" s="1"/>
  <c r="M272"/>
  <c r="L272"/>
  <c r="O272" s="1"/>
  <c r="K271"/>
  <c r="S220"/>
  <c r="Q220"/>
  <c r="U219"/>
  <c r="N219"/>
  <c r="U218"/>
  <c r="T218"/>
  <c r="N218"/>
  <c r="U217"/>
  <c r="N217"/>
  <c r="N216"/>
  <c r="N215"/>
  <c r="T214"/>
  <c r="U214" s="1"/>
  <c r="N214"/>
  <c r="T213"/>
  <c r="U213" s="1"/>
  <c r="N213"/>
  <c r="R212"/>
  <c r="P212"/>
  <c r="M212"/>
  <c r="I212"/>
  <c r="H212"/>
  <c r="G212"/>
  <c r="F212"/>
  <c r="E212"/>
  <c r="O212"/>
  <c r="J211"/>
  <c r="T211" s="1"/>
  <c r="I210"/>
  <c r="H210"/>
  <c r="G210"/>
  <c r="F210"/>
  <c r="E210"/>
  <c r="J209"/>
  <c r="G209"/>
  <c r="J208"/>
  <c r="G208"/>
  <c r="R210"/>
  <c r="P210"/>
  <c r="N206"/>
  <c r="U204"/>
  <c r="T204"/>
  <c r="J204"/>
  <c r="G204"/>
  <c r="N203"/>
  <c r="T203" s="1"/>
  <c r="U203" s="1"/>
  <c r="J203"/>
  <c r="U202"/>
  <c r="T202"/>
  <c r="J202"/>
  <c r="G202"/>
  <c r="U201"/>
  <c r="T201"/>
  <c r="J201"/>
  <c r="G201"/>
  <c r="X199"/>
  <c r="W199"/>
  <c r="N199"/>
  <c r="W198"/>
  <c r="R205"/>
  <c r="P205"/>
  <c r="J196"/>
  <c r="G196"/>
  <c r="J195"/>
  <c r="G195"/>
  <c r="J194"/>
  <c r="G194"/>
  <c r="J193"/>
  <c r="G193"/>
  <c r="J192"/>
  <c r="G192"/>
  <c r="O192" s="1"/>
  <c r="N191"/>
  <c r="T191" s="1"/>
  <c r="U191" s="1"/>
  <c r="W190"/>
  <c r="N190"/>
  <c r="Y189"/>
  <c r="X189"/>
  <c r="W189"/>
  <c r="S188"/>
  <c r="Q188"/>
  <c r="U187"/>
  <c r="N187"/>
  <c r="T186"/>
  <c r="U186" s="1"/>
  <c r="N186"/>
  <c r="U185"/>
  <c r="N185"/>
  <c r="N184"/>
  <c r="T183"/>
  <c r="U183" s="1"/>
  <c r="N183"/>
  <c r="T182"/>
  <c r="U182" s="1"/>
  <c r="N182"/>
  <c r="T181"/>
  <c r="U181" s="1"/>
  <c r="N181"/>
  <c r="P180"/>
  <c r="M180"/>
  <c r="I180"/>
  <c r="H180"/>
  <c r="F180"/>
  <c r="E180"/>
  <c r="R180"/>
  <c r="N179"/>
  <c r="T179" s="1"/>
  <c r="U179" s="1"/>
  <c r="G178"/>
  <c r="O178" s="1"/>
  <c r="N178" s="1"/>
  <c r="I177"/>
  <c r="H177"/>
  <c r="F177"/>
  <c r="E177"/>
  <c r="L176"/>
  <c r="J176"/>
  <c r="U176" s="1"/>
  <c r="G176"/>
  <c r="U175"/>
  <c r="T175"/>
  <c r="J175"/>
  <c r="G175"/>
  <c r="L173"/>
  <c r="J173" s="1"/>
  <c r="G173"/>
  <c r="L172"/>
  <c r="J172"/>
  <c r="G172"/>
  <c r="I171"/>
  <c r="H171"/>
  <c r="F171"/>
  <c r="E171"/>
  <c r="J170"/>
  <c r="U170" s="1"/>
  <c r="G170"/>
  <c r="R169"/>
  <c r="L169"/>
  <c r="J169"/>
  <c r="G169"/>
  <c r="U168"/>
  <c r="T168"/>
  <c r="J168"/>
  <c r="G168"/>
  <c r="U167"/>
  <c r="T167"/>
  <c r="J167"/>
  <c r="G167"/>
  <c r="U166"/>
  <c r="T166"/>
  <c r="J166"/>
  <c r="G166"/>
  <c r="L164"/>
  <c r="J164" s="1"/>
  <c r="G164"/>
  <c r="L163"/>
  <c r="J163"/>
  <c r="G163"/>
  <c r="I162"/>
  <c r="H162"/>
  <c r="F162"/>
  <c r="E162"/>
  <c r="J161"/>
  <c r="U161" s="1"/>
  <c r="G161"/>
  <c r="L160"/>
  <c r="J160" s="1"/>
  <c r="G160"/>
  <c r="U159"/>
  <c r="T159"/>
  <c r="J159"/>
  <c r="G159"/>
  <c r="U158"/>
  <c r="T158"/>
  <c r="J158"/>
  <c r="G158"/>
  <c r="U157"/>
  <c r="T157"/>
  <c r="J157"/>
  <c r="G157"/>
  <c r="U156"/>
  <c r="T156"/>
  <c r="J156"/>
  <c r="G156"/>
  <c r="J155"/>
  <c r="G155"/>
  <c r="U154"/>
  <c r="T154"/>
  <c r="J154"/>
  <c r="G154"/>
  <c r="U153"/>
  <c r="T153"/>
  <c r="J153"/>
  <c r="G153"/>
  <c r="L151"/>
  <c r="J151"/>
  <c r="G151"/>
  <c r="R151" s="1"/>
  <c r="S150"/>
  <c r="Q150"/>
  <c r="U149"/>
  <c r="N149"/>
  <c r="T148"/>
  <c r="U148" s="1"/>
  <c r="N148"/>
  <c r="U147"/>
  <c r="N147"/>
  <c r="N146"/>
  <c r="T145"/>
  <c r="U145" s="1"/>
  <c r="N145"/>
  <c r="U144"/>
  <c r="N144"/>
  <c r="T143"/>
  <c r="U143" s="1"/>
  <c r="N143"/>
  <c r="R142"/>
  <c r="P142"/>
  <c r="M142"/>
  <c r="I142"/>
  <c r="H142"/>
  <c r="F142"/>
  <c r="E142"/>
  <c r="J141"/>
  <c r="T141" s="1"/>
  <c r="G141"/>
  <c r="I140"/>
  <c r="H140"/>
  <c r="F140"/>
  <c r="E140"/>
  <c r="L139"/>
  <c r="G139"/>
  <c r="O139" s="1"/>
  <c r="U138"/>
  <c r="T138"/>
  <c r="J138"/>
  <c r="G138"/>
  <c r="L136"/>
  <c r="J136"/>
  <c r="G136"/>
  <c r="I135"/>
  <c r="H135"/>
  <c r="F135"/>
  <c r="E135"/>
  <c r="L134"/>
  <c r="J134" s="1"/>
  <c r="G134"/>
  <c r="U133"/>
  <c r="T133"/>
  <c r="J133"/>
  <c r="G133"/>
  <c r="U132"/>
  <c r="T132"/>
  <c r="J132"/>
  <c r="G132"/>
  <c r="U131"/>
  <c r="T131"/>
  <c r="J131"/>
  <c r="G131"/>
  <c r="U130"/>
  <c r="T130"/>
  <c r="J130"/>
  <c r="G130"/>
  <c r="U129"/>
  <c r="T129"/>
  <c r="J129"/>
  <c r="G129"/>
  <c r="L127"/>
  <c r="J127"/>
  <c r="G127"/>
  <c r="I126"/>
  <c r="I150" s="1"/>
  <c r="H126"/>
  <c r="H150" s="1"/>
  <c r="F126"/>
  <c r="F150" s="1"/>
  <c r="E126"/>
  <c r="E150" s="1"/>
  <c r="L125"/>
  <c r="J125" s="1"/>
  <c r="G125"/>
  <c r="U124"/>
  <c r="T124"/>
  <c r="J124"/>
  <c r="G124"/>
  <c r="O124" s="1"/>
  <c r="N124" s="1"/>
  <c r="U123"/>
  <c r="T123"/>
  <c r="J123"/>
  <c r="G123"/>
  <c r="O123" s="1"/>
  <c r="N123" s="1"/>
  <c r="U122"/>
  <c r="T122"/>
  <c r="J122"/>
  <c r="G122"/>
  <c r="O122" s="1"/>
  <c r="N122" s="1"/>
  <c r="U121"/>
  <c r="T121"/>
  <c r="J121"/>
  <c r="G121"/>
  <c r="O121" s="1"/>
  <c r="N121" s="1"/>
  <c r="U120"/>
  <c r="T120"/>
  <c r="J120"/>
  <c r="G120"/>
  <c r="O120" s="1"/>
  <c r="N120" s="1"/>
  <c r="U119"/>
  <c r="T119"/>
  <c r="J119"/>
  <c r="G119"/>
  <c r="O119" s="1"/>
  <c r="N119" s="1"/>
  <c r="U118"/>
  <c r="T118"/>
  <c r="N118"/>
  <c r="J118"/>
  <c r="L116"/>
  <c r="J116"/>
  <c r="G116"/>
  <c r="R116" s="1"/>
  <c r="S115"/>
  <c r="Q115"/>
  <c r="U114"/>
  <c r="N114"/>
  <c r="T113"/>
  <c r="U113" s="1"/>
  <c r="N113"/>
  <c r="U112"/>
  <c r="N112"/>
  <c r="N111"/>
  <c r="V110"/>
  <c r="U110"/>
  <c r="N110"/>
  <c r="U109"/>
  <c r="T109"/>
  <c r="N109"/>
  <c r="T108"/>
  <c r="U108" s="1"/>
  <c r="N108"/>
  <c r="R107"/>
  <c r="P107"/>
  <c r="M107"/>
  <c r="I107"/>
  <c r="H107"/>
  <c r="F107"/>
  <c r="E107"/>
  <c r="J106"/>
  <c r="T106" s="1"/>
  <c r="G106"/>
  <c r="I105"/>
  <c r="H105"/>
  <c r="F105"/>
  <c r="E105"/>
  <c r="L104"/>
  <c r="J104" s="1"/>
  <c r="T104" s="1"/>
  <c r="G104"/>
  <c r="U103"/>
  <c r="T103"/>
  <c r="J103"/>
  <c r="G103"/>
  <c r="O103" s="1"/>
  <c r="N103" s="1"/>
  <c r="U102"/>
  <c r="T102"/>
  <c r="J102"/>
  <c r="G102"/>
  <c r="O102" s="1"/>
  <c r="N102" s="1"/>
  <c r="L100"/>
  <c r="J100" s="1"/>
  <c r="G100"/>
  <c r="I99"/>
  <c r="H99"/>
  <c r="F99"/>
  <c r="E99"/>
  <c r="L98"/>
  <c r="J98"/>
  <c r="G98"/>
  <c r="U97"/>
  <c r="T97"/>
  <c r="J97"/>
  <c r="G97"/>
  <c r="U96"/>
  <c r="T96"/>
  <c r="J96"/>
  <c r="G96"/>
  <c r="U95"/>
  <c r="T95"/>
  <c r="J95"/>
  <c r="G95"/>
  <c r="L93"/>
  <c r="J93" s="1"/>
  <c r="G93"/>
  <c r="I92"/>
  <c r="H92"/>
  <c r="F92"/>
  <c r="E92"/>
  <c r="L91"/>
  <c r="J91"/>
  <c r="G91"/>
  <c r="U90"/>
  <c r="T90"/>
  <c r="J90"/>
  <c r="G90"/>
  <c r="O90" s="1"/>
  <c r="N90" s="1"/>
  <c r="U89"/>
  <c r="T89"/>
  <c r="J89"/>
  <c r="G89"/>
  <c r="O89" s="1"/>
  <c r="N89" s="1"/>
  <c r="U88"/>
  <c r="T88"/>
  <c r="J88"/>
  <c r="G88"/>
  <c r="O88" s="1"/>
  <c r="N88" s="1"/>
  <c r="U87"/>
  <c r="T87"/>
  <c r="J87"/>
  <c r="G87"/>
  <c r="O87" s="1"/>
  <c r="N87" s="1"/>
  <c r="U86"/>
  <c r="T86"/>
  <c r="J86"/>
  <c r="G86"/>
  <c r="O86" s="1"/>
  <c r="N86" s="1"/>
  <c r="U85"/>
  <c r="T85"/>
  <c r="J85"/>
  <c r="G85"/>
  <c r="O85" s="1"/>
  <c r="N85" s="1"/>
  <c r="L83"/>
  <c r="J83"/>
  <c r="G83"/>
  <c r="R83" s="1"/>
  <c r="S82"/>
  <c r="Q82"/>
  <c r="U81"/>
  <c r="N81"/>
  <c r="T80"/>
  <c r="U80" s="1"/>
  <c r="N80"/>
  <c r="U79"/>
  <c r="N79"/>
  <c r="N78"/>
  <c r="V77"/>
  <c r="U77"/>
  <c r="N77"/>
  <c r="T76"/>
  <c r="U76" s="1"/>
  <c r="N76"/>
  <c r="T75"/>
  <c r="U75" s="1"/>
  <c r="N75"/>
  <c r="R74"/>
  <c r="P74"/>
  <c r="M74"/>
  <c r="I74"/>
  <c r="H74"/>
  <c r="F74"/>
  <c r="E74"/>
  <c r="J73"/>
  <c r="T73" s="1"/>
  <c r="G73"/>
  <c r="O73" s="1"/>
  <c r="I72"/>
  <c r="H72"/>
  <c r="F72"/>
  <c r="E72"/>
  <c r="R71"/>
  <c r="L71"/>
  <c r="P71" s="1"/>
  <c r="U71"/>
  <c r="J71"/>
  <c r="U70"/>
  <c r="T70"/>
  <c r="J70"/>
  <c r="G70"/>
  <c r="L68"/>
  <c r="J68"/>
  <c r="G68"/>
  <c r="I67"/>
  <c r="H67"/>
  <c r="F67"/>
  <c r="E67"/>
  <c r="L66"/>
  <c r="J66" s="1"/>
  <c r="G66"/>
  <c r="U65"/>
  <c r="T65"/>
  <c r="J65"/>
  <c r="G65"/>
  <c r="U64"/>
  <c r="T64"/>
  <c r="J64"/>
  <c r="G64"/>
  <c r="U63"/>
  <c r="T63"/>
  <c r="J63"/>
  <c r="G63"/>
  <c r="J62"/>
  <c r="G62"/>
  <c r="J61"/>
  <c r="G61"/>
  <c r="L59"/>
  <c r="J59"/>
  <c r="T59" s="1"/>
  <c r="G59"/>
  <c r="I58"/>
  <c r="H58"/>
  <c r="F58"/>
  <c r="E58"/>
  <c r="L57"/>
  <c r="J57" s="1"/>
  <c r="G57"/>
  <c r="U56"/>
  <c r="T56"/>
  <c r="N56"/>
  <c r="J56"/>
  <c r="U55"/>
  <c r="T55"/>
  <c r="J55"/>
  <c r="G55"/>
  <c r="U54"/>
  <c r="T54"/>
  <c r="J54"/>
  <c r="G54"/>
  <c r="U53"/>
  <c r="T53"/>
  <c r="J53"/>
  <c r="G53"/>
  <c r="U52"/>
  <c r="T52"/>
  <c r="J52"/>
  <c r="G52"/>
  <c r="U50"/>
  <c r="T50"/>
  <c r="J50"/>
  <c r="G50"/>
  <c r="L48"/>
  <c r="J48"/>
  <c r="G48"/>
  <c r="R48" s="1"/>
  <c r="S47"/>
  <c r="Q47"/>
  <c r="U46"/>
  <c r="N46"/>
  <c r="T45"/>
  <c r="U45" s="1"/>
  <c r="N45"/>
  <c r="U44"/>
  <c r="N44"/>
  <c r="N43"/>
  <c r="T42"/>
  <c r="U42" s="1"/>
  <c r="T41"/>
  <c r="U41" s="1"/>
  <c r="N41"/>
  <c r="T40"/>
  <c r="U40" s="1"/>
  <c r="N40"/>
  <c r="R39"/>
  <c r="P39"/>
  <c r="M39"/>
  <c r="I39"/>
  <c r="H39"/>
  <c r="F39"/>
  <c r="E39"/>
  <c r="J38"/>
  <c r="T38" s="1"/>
  <c r="G38"/>
  <c r="O38" s="1"/>
  <c r="I37"/>
  <c r="H37"/>
  <c r="F37"/>
  <c r="E37"/>
  <c r="L36"/>
  <c r="J36"/>
  <c r="G36"/>
  <c r="R36" s="1"/>
  <c r="U35"/>
  <c r="T35"/>
  <c r="U34"/>
  <c r="T34"/>
  <c r="J34"/>
  <c r="G34"/>
  <c r="L32"/>
  <c r="J32" s="1"/>
  <c r="G32"/>
  <c r="I31"/>
  <c r="H31"/>
  <c r="F31"/>
  <c r="E31"/>
  <c r="L30"/>
  <c r="J30"/>
  <c r="G30"/>
  <c r="U29"/>
  <c r="T29"/>
  <c r="J29"/>
  <c r="G29"/>
  <c r="U27"/>
  <c r="T27"/>
  <c r="J27"/>
  <c r="G27"/>
  <c r="U26"/>
  <c r="T26"/>
  <c r="J26"/>
  <c r="G26"/>
  <c r="L24"/>
  <c r="J24" s="1"/>
  <c r="T24" s="1"/>
  <c r="G24"/>
  <c r="I23"/>
  <c r="H23"/>
  <c r="F23"/>
  <c r="E23"/>
  <c r="E47" s="1"/>
  <c r="L22"/>
  <c r="J22"/>
  <c r="G22"/>
  <c r="U21"/>
  <c r="T21"/>
  <c r="J21"/>
  <c r="G21"/>
  <c r="U20"/>
  <c r="T20"/>
  <c r="J20"/>
  <c r="G20"/>
  <c r="U19"/>
  <c r="T19"/>
  <c r="J19"/>
  <c r="G19"/>
  <c r="U18"/>
  <c r="T18"/>
  <c r="J18"/>
  <c r="G18"/>
  <c r="U17"/>
  <c r="T17"/>
  <c r="J17"/>
  <c r="G17"/>
  <c r="U16"/>
  <c r="T16"/>
  <c r="J16"/>
  <c r="G16"/>
  <c r="U15"/>
  <c r="J15"/>
  <c r="G15"/>
  <c r="U14"/>
  <c r="T14"/>
  <c r="J14"/>
  <c r="G14"/>
  <c r="L12"/>
  <c r="J12"/>
  <c r="G12"/>
  <c r="R12" s="1"/>
  <c r="V126" i="14"/>
  <c r="T126"/>
  <c r="M126"/>
  <c r="I125"/>
  <c r="H125"/>
  <c r="F125"/>
  <c r="E125"/>
  <c r="T124"/>
  <c r="U124" s="1"/>
  <c r="V124" s="1"/>
  <c r="K124"/>
  <c r="M124" s="1"/>
  <c r="T123"/>
  <c r="U123" s="1"/>
  <c r="V123" s="1"/>
  <c r="M123"/>
  <c r="T122"/>
  <c r="U122" s="1"/>
  <c r="M122"/>
  <c r="M121"/>
  <c r="J120"/>
  <c r="M120" s="1"/>
  <c r="M119"/>
  <c r="S118"/>
  <c r="M118"/>
  <c r="V117"/>
  <c r="U117"/>
  <c r="AA110" s="1"/>
  <c r="T117"/>
  <c r="M117"/>
  <c r="I116"/>
  <c r="H116"/>
  <c r="E116"/>
  <c r="T115"/>
  <c r="U115" s="1"/>
  <c r="V115" s="1"/>
  <c r="K115"/>
  <c r="M115" s="1"/>
  <c r="T114"/>
  <c r="U114" s="1"/>
  <c r="K114"/>
  <c r="M114" s="1"/>
  <c r="M110"/>
  <c r="S109"/>
  <c r="M109"/>
  <c r="V108"/>
  <c r="U108"/>
  <c r="AA104" s="1"/>
  <c r="T108"/>
  <c r="M108"/>
  <c r="F107"/>
  <c r="E107"/>
  <c r="M106"/>
  <c r="J105"/>
  <c r="M104"/>
  <c r="S103"/>
  <c r="M103"/>
  <c r="V102"/>
  <c r="U102"/>
  <c r="AA91" s="1"/>
  <c r="T102"/>
  <c r="M102"/>
  <c r="M100"/>
  <c r="T97"/>
  <c r="U97" s="1"/>
  <c r="V97" s="1"/>
  <c r="Q96"/>
  <c r="Q95"/>
  <c r="M91"/>
  <c r="S90"/>
  <c r="M90"/>
  <c r="V89"/>
  <c r="U89"/>
  <c r="T89"/>
  <c r="M89"/>
  <c r="I88"/>
  <c r="H88"/>
  <c r="F88"/>
  <c r="E88"/>
  <c r="M87"/>
  <c r="O87"/>
  <c r="M86"/>
  <c r="M85"/>
  <c r="O85"/>
  <c r="M84"/>
  <c r="Q84"/>
  <c r="M82"/>
  <c r="V81"/>
  <c r="J81"/>
  <c r="M81" s="1"/>
  <c r="Q81"/>
  <c r="AA80"/>
  <c r="M80"/>
  <c r="S79"/>
  <c r="M79"/>
  <c r="V78"/>
  <c r="U78"/>
  <c r="AA68" s="1"/>
  <c r="T78"/>
  <c r="M78"/>
  <c r="N77"/>
  <c r="M76"/>
  <c r="T76"/>
  <c r="U76" s="1"/>
  <c r="V76" s="1"/>
  <c r="M75"/>
  <c r="T75"/>
  <c r="U75" s="1"/>
  <c r="V75" s="1"/>
  <c r="T73"/>
  <c r="U73" s="1"/>
  <c r="K73"/>
  <c r="T72"/>
  <c r="U72" s="1"/>
  <c r="V72" s="1"/>
  <c r="K72"/>
  <c r="M71"/>
  <c r="M70"/>
  <c r="J69"/>
  <c r="M68"/>
  <c r="S67"/>
  <c r="M67"/>
  <c r="V66"/>
  <c r="U66"/>
  <c r="AA59" s="1"/>
  <c r="T66"/>
  <c r="M66"/>
  <c r="F65"/>
  <c r="E65"/>
  <c r="T64"/>
  <c r="U64" s="1"/>
  <c r="V64" s="1"/>
  <c r="K64"/>
  <c r="T63"/>
  <c r="U63" s="1"/>
  <c r="V63" s="1"/>
  <c r="K63"/>
  <c r="M62"/>
  <c r="O62"/>
  <c r="M61"/>
  <c r="Q60"/>
  <c r="M59"/>
  <c r="S58"/>
  <c r="R58"/>
  <c r="P58"/>
  <c r="M58"/>
  <c r="V57"/>
  <c r="U57"/>
  <c r="AA48" s="1"/>
  <c r="T57"/>
  <c r="M57"/>
  <c r="F56"/>
  <c r="E56"/>
  <c r="T55"/>
  <c r="U55" s="1"/>
  <c r="V55" s="1"/>
  <c r="K55"/>
  <c r="M55" s="1"/>
  <c r="T54"/>
  <c r="U54" s="1"/>
  <c r="V54" s="1"/>
  <c r="K54"/>
  <c r="M54" s="1"/>
  <c r="T53"/>
  <c r="U53" s="1"/>
  <c r="K53"/>
  <c r="M53" s="1"/>
  <c r="M52"/>
  <c r="M51"/>
  <c r="M50"/>
  <c r="J49"/>
  <c r="M48"/>
  <c r="S47"/>
  <c r="M47"/>
  <c r="V46"/>
  <c r="U46"/>
  <c r="AA37" s="1"/>
  <c r="T46"/>
  <c r="M46"/>
  <c r="I45"/>
  <c r="T44"/>
  <c r="U44" s="1"/>
  <c r="V44" s="1"/>
  <c r="K44"/>
  <c r="M44" s="1"/>
  <c r="T43"/>
  <c r="U43" s="1"/>
  <c r="V43" s="1"/>
  <c r="K43"/>
  <c r="M43" s="1"/>
  <c r="T42"/>
  <c r="U42" s="1"/>
  <c r="V42" s="1"/>
  <c r="K42"/>
  <c r="M42" s="1"/>
  <c r="T41"/>
  <c r="U41" s="1"/>
  <c r="K41"/>
  <c r="M41" s="1"/>
  <c r="M40"/>
  <c r="M39"/>
  <c r="Q39"/>
  <c r="J38"/>
  <c r="M37"/>
  <c r="S36"/>
  <c r="M36"/>
  <c r="V35"/>
  <c r="U35"/>
  <c r="AA21" s="1"/>
  <c r="T35"/>
  <c r="M35"/>
  <c r="T33"/>
  <c r="U33" s="1"/>
  <c r="K33"/>
  <c r="M33" s="1"/>
  <c r="T32"/>
  <c r="U32" s="1"/>
  <c r="V32" s="1"/>
  <c r="K32"/>
  <c r="M32" s="1"/>
  <c r="Q30"/>
  <c r="M30"/>
  <c r="V29"/>
  <c r="Q29"/>
  <c r="V28"/>
  <c r="Q28"/>
  <c r="M26"/>
  <c r="S25"/>
  <c r="R25"/>
  <c r="R127" s="1"/>
  <c r="P25"/>
  <c r="P127" s="1"/>
  <c r="M25"/>
  <c r="T24"/>
  <c r="U24" s="1"/>
  <c r="V24" s="1"/>
  <c r="M24"/>
  <c r="T23"/>
  <c r="U23" s="1"/>
  <c r="V23" s="1"/>
  <c r="M23"/>
  <c r="V22"/>
  <c r="M22"/>
  <c r="I21"/>
  <c r="H21"/>
  <c r="F21"/>
  <c r="E21"/>
  <c r="N21" s="1"/>
  <c r="X20"/>
  <c r="G20"/>
  <c r="M19"/>
  <c r="Q17"/>
  <c r="S14"/>
  <c r="R14"/>
  <c r="P14"/>
  <c r="N14" i="4" l="1"/>
  <c r="O14"/>
  <c r="N52"/>
  <c r="O52"/>
  <c r="N53"/>
  <c r="O53"/>
  <c r="N54"/>
  <c r="O54"/>
  <c r="P57"/>
  <c r="O57"/>
  <c r="N63"/>
  <c r="O63"/>
  <c r="N64"/>
  <c r="O64"/>
  <c r="N65"/>
  <c r="O65"/>
  <c r="R66"/>
  <c r="P66"/>
  <c r="O66"/>
  <c r="N66" s="1"/>
  <c r="P104"/>
  <c r="O104"/>
  <c r="R104"/>
  <c r="N132"/>
  <c r="O132"/>
  <c r="N133"/>
  <c r="O133"/>
  <c r="P139"/>
  <c r="O155"/>
  <c r="N155" s="1"/>
  <c r="O157"/>
  <c r="N157" s="1"/>
  <c r="O158"/>
  <c r="N158" s="1"/>
  <c r="O159"/>
  <c r="N159" s="1"/>
  <c r="R160"/>
  <c r="O160"/>
  <c r="P160"/>
  <c r="R195"/>
  <c r="R197" s="1"/>
  <c r="R220" s="1"/>
  <c r="O195"/>
  <c r="P195"/>
  <c r="P197" s="1"/>
  <c r="P220" s="1"/>
  <c r="O196"/>
  <c r="N196" s="1"/>
  <c r="T196" s="1"/>
  <c r="U196" s="1"/>
  <c r="O204"/>
  <c r="N204" s="1"/>
  <c r="O208"/>
  <c r="O209"/>
  <c r="N209" s="1"/>
  <c r="O18"/>
  <c r="N18" s="1"/>
  <c r="O19"/>
  <c r="N19" s="1"/>
  <c r="O26"/>
  <c r="N26" s="1"/>
  <c r="O27"/>
  <c r="N27" s="1"/>
  <c r="F115"/>
  <c r="N96"/>
  <c r="O96"/>
  <c r="N97"/>
  <c r="O97"/>
  <c r="O98"/>
  <c r="P98"/>
  <c r="J139"/>
  <c r="U139" s="1"/>
  <c r="O161"/>
  <c r="N161" s="1"/>
  <c r="O166"/>
  <c r="N166" s="1"/>
  <c r="O170"/>
  <c r="N170" s="1"/>
  <c r="O175"/>
  <c r="N175" s="1"/>
  <c r="M273"/>
  <c r="M289"/>
  <c r="L292"/>
  <c r="L293" s="1"/>
  <c r="N292"/>
  <c r="N293" s="1"/>
  <c r="N298" s="1"/>
  <c r="M302"/>
  <c r="M315"/>
  <c r="O328"/>
  <c r="N343"/>
  <c r="Q15" i="14"/>
  <c r="E188" i="4"/>
  <c r="I188"/>
  <c r="H188"/>
  <c r="H115"/>
  <c r="E115"/>
  <c r="I115"/>
  <c r="E82"/>
  <c r="I82"/>
  <c r="H82"/>
  <c r="H47"/>
  <c r="I47"/>
  <c r="N34" i="14"/>
  <c r="O201" i="4"/>
  <c r="N201" s="1"/>
  <c r="O202"/>
  <c r="O194"/>
  <c r="N194" s="1"/>
  <c r="T194" s="1"/>
  <c r="U194" s="1"/>
  <c r="O193"/>
  <c r="N193" s="1"/>
  <c r="T193" s="1"/>
  <c r="U193" s="1"/>
  <c r="P173"/>
  <c r="O173"/>
  <c r="R172"/>
  <c r="P172"/>
  <c r="P177" s="1"/>
  <c r="O172"/>
  <c r="P169"/>
  <c r="O169"/>
  <c r="O168"/>
  <c r="N168" s="1"/>
  <c r="O167"/>
  <c r="N167" s="1"/>
  <c r="P164"/>
  <c r="O164"/>
  <c r="F188"/>
  <c r="R163"/>
  <c r="P163"/>
  <c r="O163"/>
  <c r="O156"/>
  <c r="N156" s="1"/>
  <c r="O154"/>
  <c r="N154" s="1"/>
  <c r="O153"/>
  <c r="N153" s="1"/>
  <c r="P151"/>
  <c r="O151"/>
  <c r="P136"/>
  <c r="P140" s="1"/>
  <c r="O136"/>
  <c r="O138"/>
  <c r="N138" s="1"/>
  <c r="P134"/>
  <c r="O134"/>
  <c r="O131"/>
  <c r="N131" s="1"/>
  <c r="O130"/>
  <c r="N130" s="1"/>
  <c r="O129"/>
  <c r="N129" s="1"/>
  <c r="G135"/>
  <c r="R127"/>
  <c r="P127"/>
  <c r="O127"/>
  <c r="R125"/>
  <c r="R126" s="1"/>
  <c r="O125"/>
  <c r="P125"/>
  <c r="G126"/>
  <c r="P116"/>
  <c r="P126" s="1"/>
  <c r="O116"/>
  <c r="G105"/>
  <c r="O100"/>
  <c r="P100"/>
  <c r="O95"/>
  <c r="N95" s="1"/>
  <c r="G99"/>
  <c r="O93"/>
  <c r="P93"/>
  <c r="P99" s="1"/>
  <c r="R91"/>
  <c r="R92" s="1"/>
  <c r="P91"/>
  <c r="O91"/>
  <c r="O83"/>
  <c r="P83"/>
  <c r="O70"/>
  <c r="N70" s="1"/>
  <c r="G72"/>
  <c r="O68"/>
  <c r="P68"/>
  <c r="O62"/>
  <c r="N62" s="1"/>
  <c r="O61"/>
  <c r="N61" s="1"/>
  <c r="O59"/>
  <c r="P59"/>
  <c r="F82"/>
  <c r="O55"/>
  <c r="N55" s="1"/>
  <c r="O50"/>
  <c r="N50" s="1"/>
  <c r="G58"/>
  <c r="P48"/>
  <c r="O48"/>
  <c r="O34"/>
  <c r="N34" s="1"/>
  <c r="R32"/>
  <c r="P32"/>
  <c r="O32"/>
  <c r="R30"/>
  <c r="O30"/>
  <c r="P30"/>
  <c r="N30" s="1"/>
  <c r="O29"/>
  <c r="N29" s="1"/>
  <c r="P24"/>
  <c r="P31" s="1"/>
  <c r="O24"/>
  <c r="F47"/>
  <c r="R22"/>
  <c r="O22"/>
  <c r="P22"/>
  <c r="O21"/>
  <c r="N21" s="1"/>
  <c r="O20"/>
  <c r="N20" s="1"/>
  <c r="O17"/>
  <c r="N17" s="1"/>
  <c r="O16"/>
  <c r="N16" s="1"/>
  <c r="O15"/>
  <c r="N15" s="1"/>
  <c r="G142"/>
  <c r="O141"/>
  <c r="N141" s="1"/>
  <c r="G107"/>
  <c r="O106"/>
  <c r="N106" s="1"/>
  <c r="N107" s="1"/>
  <c r="G39"/>
  <c r="N38"/>
  <c r="N62" i="14"/>
  <c r="G107"/>
  <c r="Q107" s="1"/>
  <c r="Q106"/>
  <c r="T106" s="1"/>
  <c r="U106" s="1"/>
  <c r="G125"/>
  <c r="Q125" s="1"/>
  <c r="O15"/>
  <c r="O101"/>
  <c r="Q101"/>
  <c r="G56"/>
  <c r="Q56" s="1"/>
  <c r="Q21"/>
  <c r="Q19"/>
  <c r="O20"/>
  <c r="Q20"/>
  <c r="M107"/>
  <c r="Q121"/>
  <c r="N20"/>
  <c r="M27"/>
  <c r="M28"/>
  <c r="M29"/>
  <c r="M31"/>
  <c r="M38"/>
  <c r="Q45"/>
  <c r="M49"/>
  <c r="M60"/>
  <c r="M69"/>
  <c r="M92"/>
  <c r="M95"/>
  <c r="M96"/>
  <c r="T100"/>
  <c r="U100" s="1"/>
  <c r="V100" s="1"/>
  <c r="M105"/>
  <c r="M111"/>
  <c r="M112"/>
  <c r="M113"/>
  <c r="T206" i="4"/>
  <c r="T199"/>
  <c r="U199" s="1"/>
  <c r="T190"/>
  <c r="U190" s="1"/>
  <c r="T66"/>
  <c r="U66" s="1"/>
  <c r="T57"/>
  <c r="U57" s="1"/>
  <c r="T22"/>
  <c r="U22" s="1"/>
  <c r="P36"/>
  <c r="O36"/>
  <c r="N36" s="1"/>
  <c r="O12"/>
  <c r="P12"/>
  <c r="R37"/>
  <c r="U24"/>
  <c r="O39"/>
  <c r="U59"/>
  <c r="P92"/>
  <c r="O74"/>
  <c r="N73"/>
  <c r="U106"/>
  <c r="O180"/>
  <c r="N283"/>
  <c r="N282"/>
  <c r="N281"/>
  <c r="N280"/>
  <c r="N279"/>
  <c r="N278"/>
  <c r="M278"/>
  <c r="M283"/>
  <c r="M282"/>
  <c r="M281"/>
  <c r="M280"/>
  <c r="M279"/>
  <c r="M294"/>
  <c r="M298"/>
  <c r="M297"/>
  <c r="M296"/>
  <c r="M295"/>
  <c r="N311"/>
  <c r="N310"/>
  <c r="N309"/>
  <c r="N308"/>
  <c r="N307"/>
  <c r="M307"/>
  <c r="M311"/>
  <c r="M310"/>
  <c r="M309"/>
  <c r="M308"/>
  <c r="N324"/>
  <c r="N323"/>
  <c r="N322"/>
  <c r="N321"/>
  <c r="N320"/>
  <c r="M320"/>
  <c r="M324"/>
  <c r="M323"/>
  <c r="M322"/>
  <c r="M321"/>
  <c r="P339"/>
  <c r="P338"/>
  <c r="P337"/>
  <c r="P336"/>
  <c r="P335"/>
  <c r="P334"/>
  <c r="P333"/>
  <c r="O333"/>
  <c r="O339"/>
  <c r="O338"/>
  <c r="O337"/>
  <c r="O336"/>
  <c r="O335"/>
  <c r="O334"/>
  <c r="O353"/>
  <c r="O352"/>
  <c r="O351"/>
  <c r="O350"/>
  <c r="O349"/>
  <c r="O348"/>
  <c r="N348"/>
  <c r="N353"/>
  <c r="N352"/>
  <c r="N351"/>
  <c r="N350"/>
  <c r="N349"/>
  <c r="R23"/>
  <c r="P23"/>
  <c r="G23"/>
  <c r="R24"/>
  <c r="R31" s="1"/>
  <c r="G31"/>
  <c r="G37"/>
  <c r="R57"/>
  <c r="R59"/>
  <c r="P67"/>
  <c r="G67"/>
  <c r="G82" s="1"/>
  <c r="P72"/>
  <c r="T71"/>
  <c r="G74"/>
  <c r="G92"/>
  <c r="R98"/>
  <c r="R100"/>
  <c r="R105" s="1"/>
  <c r="U104"/>
  <c r="S221"/>
  <c r="L298"/>
  <c r="L297"/>
  <c r="L296"/>
  <c r="L295"/>
  <c r="L294"/>
  <c r="N297"/>
  <c r="N295"/>
  <c r="N22"/>
  <c r="P58"/>
  <c r="R68"/>
  <c r="R72" s="1"/>
  <c r="N71"/>
  <c r="N91"/>
  <c r="R93"/>
  <c r="P105"/>
  <c r="N125"/>
  <c r="Q221"/>
  <c r="P135"/>
  <c r="R134"/>
  <c r="R135" s="1"/>
  <c r="R136"/>
  <c r="R140" s="1"/>
  <c r="G140"/>
  <c r="G150" s="1"/>
  <c r="R162"/>
  <c r="P162"/>
  <c r="T161"/>
  <c r="G162"/>
  <c r="R164"/>
  <c r="R171" s="1"/>
  <c r="N169"/>
  <c r="T170"/>
  <c r="G171"/>
  <c r="R173"/>
  <c r="R177" s="1"/>
  <c r="T176"/>
  <c r="G177"/>
  <c r="G180"/>
  <c r="N189"/>
  <c r="T189" s="1"/>
  <c r="N198"/>
  <c r="T198" s="1"/>
  <c r="T208"/>
  <c r="U208" s="1"/>
  <c r="T209"/>
  <c r="U209" s="1"/>
  <c r="N211"/>
  <c r="L273"/>
  <c r="N273"/>
  <c r="L276"/>
  <c r="L277" s="1"/>
  <c r="L289"/>
  <c r="L302"/>
  <c r="N302"/>
  <c r="L305"/>
  <c r="L306" s="1"/>
  <c r="L315"/>
  <c r="N315"/>
  <c r="L318"/>
  <c r="L319" s="1"/>
  <c r="N328"/>
  <c r="P328"/>
  <c r="N331"/>
  <c r="N332" s="1"/>
  <c r="M343"/>
  <c r="O343"/>
  <c r="M346"/>
  <c r="M347" s="1"/>
  <c r="N160"/>
  <c r="X179"/>
  <c r="N195"/>
  <c r="M21" i="14"/>
  <c r="V33"/>
  <c r="V41"/>
  <c r="V53"/>
  <c r="V73"/>
  <c r="M45"/>
  <c r="O56"/>
  <c r="O48" s="1"/>
  <c r="O47" s="1"/>
  <c r="M56"/>
  <c r="V114"/>
  <c r="O125"/>
  <c r="T125" s="1"/>
  <c r="M125"/>
  <c r="V122"/>
  <c r="M15"/>
  <c r="M16"/>
  <c r="M17"/>
  <c r="U22"/>
  <c r="AB11" s="1"/>
  <c r="N15"/>
  <c r="T16"/>
  <c r="U16" s="1"/>
  <c r="T17"/>
  <c r="U17" s="1"/>
  <c r="V17" s="1"/>
  <c r="T22"/>
  <c r="Q27"/>
  <c r="O28"/>
  <c r="O29"/>
  <c r="T30"/>
  <c r="U30" s="1"/>
  <c r="V30" s="1"/>
  <c r="Q31"/>
  <c r="N38"/>
  <c r="Q38"/>
  <c r="N49"/>
  <c r="O59"/>
  <c r="O58" s="1"/>
  <c r="Q61"/>
  <c r="Q62"/>
  <c r="T62" s="1"/>
  <c r="U62" s="1"/>
  <c r="V62" s="1"/>
  <c r="G65"/>
  <c r="N69"/>
  <c r="Q69"/>
  <c r="Q70"/>
  <c r="Q71"/>
  <c r="O81"/>
  <c r="Q82"/>
  <c r="Q83"/>
  <c r="T85"/>
  <c r="U85" s="1"/>
  <c r="V85" s="1"/>
  <c r="O86"/>
  <c r="T86" s="1"/>
  <c r="U86" s="1"/>
  <c r="V86" s="1"/>
  <c r="T87"/>
  <c r="U87" s="1"/>
  <c r="V87" s="1"/>
  <c r="G88"/>
  <c r="Q88" s="1"/>
  <c r="Q92"/>
  <c r="M101"/>
  <c r="N105"/>
  <c r="Q105"/>
  <c r="Q112"/>
  <c r="Q113"/>
  <c r="G116"/>
  <c r="Q116" s="1"/>
  <c r="N120"/>
  <c r="Q120"/>
  <c r="N28"/>
  <c r="N29"/>
  <c r="T29" s="1"/>
  <c r="T40"/>
  <c r="U40" s="1"/>
  <c r="V40" s="1"/>
  <c r="O68"/>
  <c r="O67" s="1"/>
  <c r="N81"/>
  <c r="T95"/>
  <c r="U95" s="1"/>
  <c r="V95" s="1"/>
  <c r="T96"/>
  <c r="U96" s="1"/>
  <c r="V96" s="1"/>
  <c r="O119"/>
  <c r="O118" s="1"/>
  <c r="Q128" l="1"/>
  <c r="O80"/>
  <c r="N56"/>
  <c r="O210" i="4"/>
  <c r="T139"/>
  <c r="R99"/>
  <c r="R115" s="1"/>
  <c r="N294"/>
  <c r="N296"/>
  <c r="O296" s="1"/>
  <c r="O295"/>
  <c r="G115"/>
  <c r="R67"/>
  <c r="R47"/>
  <c r="T20" i="14"/>
  <c r="U20" s="1"/>
  <c r="V20" s="1"/>
  <c r="N208" i="4"/>
  <c r="N210" s="1"/>
  <c r="N104"/>
  <c r="W220"/>
  <c r="X220" s="1"/>
  <c r="Q119" i="14"/>
  <c r="Q118" s="1"/>
  <c r="Q13"/>
  <c r="X13" s="1"/>
  <c r="Y13" s="1"/>
  <c r="Q68"/>
  <c r="O205" i="4"/>
  <c r="N205" s="1"/>
  <c r="O107"/>
  <c r="T67"/>
  <c r="O23"/>
  <c r="Q104" i="14"/>
  <c r="O21"/>
  <c r="T21" s="1"/>
  <c r="U21" s="1"/>
  <c r="V21" s="1"/>
  <c r="N45"/>
  <c r="O13"/>
  <c r="N202" i="4"/>
  <c r="P150"/>
  <c r="T107"/>
  <c r="U107" s="1"/>
  <c r="T107" i="14"/>
  <c r="U107" s="1"/>
  <c r="V107" s="1"/>
  <c r="T101"/>
  <c r="U101" s="1"/>
  <c r="V101" s="1"/>
  <c r="T112"/>
  <c r="U112" s="1"/>
  <c r="V112" s="1"/>
  <c r="Q59"/>
  <c r="Q110"/>
  <c r="O26"/>
  <c r="O25" s="1"/>
  <c r="Q80"/>
  <c r="T61"/>
  <c r="U61" s="1"/>
  <c r="V61" s="1"/>
  <c r="O45"/>
  <c r="N26"/>
  <c r="N25" s="1"/>
  <c r="T105"/>
  <c r="U105" s="1"/>
  <c r="V105" s="1"/>
  <c r="O37"/>
  <c r="O36" s="1"/>
  <c r="O91"/>
  <c r="O90" s="1"/>
  <c r="Q91"/>
  <c r="M65"/>
  <c r="Q65"/>
  <c r="M34"/>
  <c r="Q34"/>
  <c r="Q47"/>
  <c r="Q37"/>
  <c r="Q26"/>
  <c r="N13"/>
  <c r="M77"/>
  <c r="Q77"/>
  <c r="T19"/>
  <c r="U19" s="1"/>
  <c r="V19" s="1"/>
  <c r="U125"/>
  <c r="V125" s="1"/>
  <c r="V106"/>
  <c r="T195" i="4"/>
  <c r="U195" s="1"/>
  <c r="T169"/>
  <c r="U169" s="1"/>
  <c r="T160"/>
  <c r="U160" s="1"/>
  <c r="T91"/>
  <c r="U91" s="1"/>
  <c r="U67"/>
  <c r="T125"/>
  <c r="U125" s="1"/>
  <c r="T36"/>
  <c r="U36" s="1"/>
  <c r="T30"/>
  <c r="U30" s="1"/>
  <c r="U31" s="1"/>
  <c r="V16" i="14"/>
  <c r="N98" i="4"/>
  <c r="T113" i="14"/>
  <c r="U113" s="1"/>
  <c r="V113" s="1"/>
  <c r="T83"/>
  <c r="U83" s="1"/>
  <c r="V83" s="1"/>
  <c r="T82"/>
  <c r="U82" s="1"/>
  <c r="T52"/>
  <c r="U52" s="1"/>
  <c r="V52" s="1"/>
  <c r="T51"/>
  <c r="U51" s="1"/>
  <c r="V51" s="1"/>
  <c r="T50"/>
  <c r="U50" s="1"/>
  <c r="V50" s="1"/>
  <c r="O171" i="4"/>
  <c r="N163"/>
  <c r="T163" s="1"/>
  <c r="M353"/>
  <c r="P353" s="1"/>
  <c r="M352"/>
  <c r="P352" s="1"/>
  <c r="M351"/>
  <c r="P351" s="1"/>
  <c r="M350"/>
  <c r="P350" s="1"/>
  <c r="M349"/>
  <c r="P349" s="1"/>
  <c r="M348"/>
  <c r="P348" s="1"/>
  <c r="L324"/>
  <c r="O324" s="1"/>
  <c r="L323"/>
  <c r="O323" s="1"/>
  <c r="L322"/>
  <c r="O322" s="1"/>
  <c r="L321"/>
  <c r="O321" s="1"/>
  <c r="L320"/>
  <c r="O320" s="1"/>
  <c r="N212"/>
  <c r="U211"/>
  <c r="U198"/>
  <c r="T205"/>
  <c r="U205" s="1"/>
  <c r="V189"/>
  <c r="O142"/>
  <c r="N136"/>
  <c r="T136" s="1"/>
  <c r="O140"/>
  <c r="O37"/>
  <c r="N32"/>
  <c r="T32" s="1"/>
  <c r="N83"/>
  <c r="T83" s="1"/>
  <c r="O92"/>
  <c r="N24"/>
  <c r="N31" s="1"/>
  <c r="O31"/>
  <c r="N12"/>
  <c r="T12" s="1"/>
  <c r="N180"/>
  <c r="N74"/>
  <c r="U73"/>
  <c r="N39"/>
  <c r="P171"/>
  <c r="P188" s="1"/>
  <c r="R188"/>
  <c r="N134"/>
  <c r="R150"/>
  <c r="O294"/>
  <c r="O298"/>
  <c r="O197"/>
  <c r="R58"/>
  <c r="R82" s="1"/>
  <c r="P37"/>
  <c r="P47" s="1"/>
  <c r="P115"/>
  <c r="T31"/>
  <c r="O177"/>
  <c r="N172"/>
  <c r="T172" s="1"/>
  <c r="O135"/>
  <c r="N127"/>
  <c r="T127" s="1"/>
  <c r="N339"/>
  <c r="Q339" s="1"/>
  <c r="N338"/>
  <c r="Q338" s="1"/>
  <c r="N337"/>
  <c r="Q337" s="1"/>
  <c r="N336"/>
  <c r="Q336" s="1"/>
  <c r="N335"/>
  <c r="Q335" s="1"/>
  <c r="N334"/>
  <c r="Q334" s="1"/>
  <c r="N333"/>
  <c r="Q333" s="1"/>
  <c r="L311"/>
  <c r="O311" s="1"/>
  <c r="L310"/>
  <c r="O310" s="1"/>
  <c r="L309"/>
  <c r="O309" s="1"/>
  <c r="L308"/>
  <c r="O308" s="1"/>
  <c r="L307"/>
  <c r="O307" s="1"/>
  <c r="L283"/>
  <c r="O283" s="1"/>
  <c r="L282"/>
  <c r="O282" s="1"/>
  <c r="L281"/>
  <c r="O281" s="1"/>
  <c r="L280"/>
  <c r="O280" s="1"/>
  <c r="L279"/>
  <c r="O279" s="1"/>
  <c r="L278"/>
  <c r="O278" s="1"/>
  <c r="T210"/>
  <c r="U206"/>
  <c r="U210" s="1"/>
  <c r="X178"/>
  <c r="G188"/>
  <c r="Y179" s="1"/>
  <c r="N151"/>
  <c r="T151" s="1"/>
  <c r="O162"/>
  <c r="O126"/>
  <c r="N116"/>
  <c r="T116" s="1"/>
  <c r="O99"/>
  <c r="N93"/>
  <c r="O72"/>
  <c r="N68"/>
  <c r="T68" s="1"/>
  <c r="O105"/>
  <c r="N100"/>
  <c r="T100" s="1"/>
  <c r="N59"/>
  <c r="N67" s="1"/>
  <c r="O67"/>
  <c r="O58"/>
  <c r="N48"/>
  <c r="T48" s="1"/>
  <c r="W23"/>
  <c r="N173"/>
  <c r="N164"/>
  <c r="P82"/>
  <c r="O297"/>
  <c r="N57"/>
  <c r="G47"/>
  <c r="T81" i="14"/>
  <c r="N80"/>
  <c r="T60"/>
  <c r="N59"/>
  <c r="N58" s="1"/>
  <c r="N116"/>
  <c r="N110" s="1"/>
  <c r="N109" s="1"/>
  <c r="M116"/>
  <c r="O116"/>
  <c r="O110" s="1"/>
  <c r="O109" s="1"/>
  <c r="N104"/>
  <c r="N103" s="1"/>
  <c r="N88"/>
  <c r="T88" s="1"/>
  <c r="U88" s="1"/>
  <c r="M88"/>
  <c r="T49"/>
  <c r="N48"/>
  <c r="N47" s="1"/>
  <c r="T38"/>
  <c r="U38" s="1"/>
  <c r="N37"/>
  <c r="N36" s="1"/>
  <c r="T27"/>
  <c r="T15"/>
  <c r="T111"/>
  <c r="T120"/>
  <c r="U120" s="1"/>
  <c r="V120" s="1"/>
  <c r="N119"/>
  <c r="N118" s="1"/>
  <c r="T92"/>
  <c r="T69"/>
  <c r="U69" s="1"/>
  <c r="N68"/>
  <c r="N67" s="1"/>
  <c r="O104"/>
  <c r="O103" s="1"/>
  <c r="T84"/>
  <c r="U84" s="1"/>
  <c r="V84" s="1"/>
  <c r="T39"/>
  <c r="U39" s="1"/>
  <c r="V39" s="1"/>
  <c r="T28"/>
  <c r="T121"/>
  <c r="U121" s="1"/>
  <c r="O79"/>
  <c r="T71"/>
  <c r="T70"/>
  <c r="U70" s="1"/>
  <c r="V70" s="1"/>
  <c r="T31"/>
  <c r="U31" s="1"/>
  <c r="V31" s="1"/>
  <c r="T56"/>
  <c r="U56" s="1"/>
  <c r="V56" s="1"/>
  <c r="T104" l="1"/>
  <c r="W150" i="4"/>
  <c r="X150" s="1"/>
  <c r="W47"/>
  <c r="Q109" i="14"/>
  <c r="X109" s="1"/>
  <c r="Y109" s="1"/>
  <c r="Q103"/>
  <c r="X103" s="1"/>
  <c r="Y103" s="1"/>
  <c r="Q90"/>
  <c r="X90" s="1"/>
  <c r="Y90" s="1"/>
  <c r="Q79"/>
  <c r="X79" s="1"/>
  <c r="Y79" s="1"/>
  <c r="Q25"/>
  <c r="AB25" s="1"/>
  <c r="AC25" s="1"/>
  <c r="AB13"/>
  <c r="AC13" s="1"/>
  <c r="V104"/>
  <c r="V103" s="1"/>
  <c r="Q67"/>
  <c r="X67" s="1"/>
  <c r="Y67" s="1"/>
  <c r="T98" i="4"/>
  <c r="U98" s="1"/>
  <c r="O82"/>
  <c r="N82" s="1"/>
  <c r="Q58" i="14"/>
  <c r="AB58" s="1"/>
  <c r="T45"/>
  <c r="U45" s="1"/>
  <c r="V45" s="1"/>
  <c r="Z179" i="4"/>
  <c r="Z180" s="1"/>
  <c r="O150"/>
  <c r="N150" s="1"/>
  <c r="P221"/>
  <c r="R221"/>
  <c r="O47"/>
  <c r="N47" s="1"/>
  <c r="T212"/>
  <c r="U212" s="1"/>
  <c r="T74"/>
  <c r="U74" s="1"/>
  <c r="T77" i="14"/>
  <c r="U77" s="1"/>
  <c r="V77" s="1"/>
  <c r="T34"/>
  <c r="U34" s="1"/>
  <c r="V34" s="1"/>
  <c r="T65"/>
  <c r="U65" s="1"/>
  <c r="V65" s="1"/>
  <c r="Q36"/>
  <c r="U14"/>
  <c r="O127"/>
  <c r="V14"/>
  <c r="V13" s="1"/>
  <c r="U104"/>
  <c r="U103" s="1"/>
  <c r="V69"/>
  <c r="T91"/>
  <c r="U92"/>
  <c r="T110"/>
  <c r="U111"/>
  <c r="V38"/>
  <c r="V37" s="1"/>
  <c r="U37"/>
  <c r="T48"/>
  <c r="U49"/>
  <c r="U71"/>
  <c r="V71" s="1"/>
  <c r="T59"/>
  <c r="U60"/>
  <c r="U80"/>
  <c r="U79" s="1"/>
  <c r="V82"/>
  <c r="V80" s="1"/>
  <c r="V121"/>
  <c r="V119" s="1"/>
  <c r="V118" s="1"/>
  <c r="U119"/>
  <c r="U118" s="1"/>
  <c r="X120" s="1"/>
  <c r="T103"/>
  <c r="U27"/>
  <c r="T26"/>
  <c r="T197" i="4"/>
  <c r="T173"/>
  <c r="U173" s="1"/>
  <c r="T164"/>
  <c r="U164" s="1"/>
  <c r="W82"/>
  <c r="X82" s="1"/>
  <c r="N99"/>
  <c r="T93"/>
  <c r="T134"/>
  <c r="U134" s="1"/>
  <c r="W115"/>
  <c r="X115" s="1"/>
  <c r="O188"/>
  <c r="N188" s="1"/>
  <c r="N58"/>
  <c r="N105"/>
  <c r="N72"/>
  <c r="N126"/>
  <c r="N135"/>
  <c r="N177"/>
  <c r="O220"/>
  <c r="N197"/>
  <c r="W188"/>
  <c r="X188" s="1"/>
  <c r="N23"/>
  <c r="N92"/>
  <c r="N140"/>
  <c r="N142"/>
  <c r="U141"/>
  <c r="N171"/>
  <c r="X47"/>
  <c r="N162"/>
  <c r="T39"/>
  <c r="U38"/>
  <c r="U39" s="1"/>
  <c r="U178"/>
  <c r="T180"/>
  <c r="U180" s="1"/>
  <c r="N37"/>
  <c r="U189"/>
  <c r="U197" s="1"/>
  <c r="U220" s="1"/>
  <c r="O115"/>
  <c r="V88" i="14"/>
  <c r="AB47"/>
  <c r="AC47" s="1"/>
  <c r="X47"/>
  <c r="Y47" s="1"/>
  <c r="AB118"/>
  <c r="AC118" s="1"/>
  <c r="X118"/>
  <c r="Y118" s="1"/>
  <c r="T37"/>
  <c r="N79"/>
  <c r="T68"/>
  <c r="T119"/>
  <c r="T116"/>
  <c r="U116" s="1"/>
  <c r="T80"/>
  <c r="AB109" l="1"/>
  <c r="AC109" s="1"/>
  <c r="Q127"/>
  <c r="AB103"/>
  <c r="AC103" s="1"/>
  <c r="AB79"/>
  <c r="AC79" s="1"/>
  <c r="AB67"/>
  <c r="AC67" s="1"/>
  <c r="AB90"/>
  <c r="AC90" s="1"/>
  <c r="V79"/>
  <c r="AB36"/>
  <c r="AC36" s="1"/>
  <c r="V36"/>
  <c r="X25"/>
  <c r="Y25" s="1"/>
  <c r="U13"/>
  <c r="X15" s="1"/>
  <c r="X58"/>
  <c r="Y58" s="1"/>
  <c r="U36"/>
  <c r="X38" s="1"/>
  <c r="X36"/>
  <c r="Y36" s="1"/>
  <c r="T142" i="4"/>
  <c r="U142" s="1"/>
  <c r="N115"/>
  <c r="T36" i="14"/>
  <c r="T79"/>
  <c r="N127"/>
  <c r="T25"/>
  <c r="T58"/>
  <c r="T67"/>
  <c r="T47"/>
  <c r="T90"/>
  <c r="AB104"/>
  <c r="X105"/>
  <c r="W71"/>
  <c r="V68"/>
  <c r="V67" s="1"/>
  <c r="U59"/>
  <c r="U58" s="1"/>
  <c r="V60"/>
  <c r="V59" s="1"/>
  <c r="V58" s="1"/>
  <c r="U48"/>
  <c r="U47" s="1"/>
  <c r="AB48" s="1"/>
  <c r="V49"/>
  <c r="V48" s="1"/>
  <c r="V47" s="1"/>
  <c r="U110"/>
  <c r="U109" s="1"/>
  <c r="V111"/>
  <c r="V110" s="1"/>
  <c r="U91"/>
  <c r="U90" s="1"/>
  <c r="V92"/>
  <c r="V91" s="1"/>
  <c r="V90" s="1"/>
  <c r="U68"/>
  <c r="U67" s="1"/>
  <c r="T118"/>
  <c r="AB119"/>
  <c r="U26"/>
  <c r="U25" s="1"/>
  <c r="V27"/>
  <c r="V26" s="1"/>
  <c r="V25" s="1"/>
  <c r="N220" i="4"/>
  <c r="O221"/>
  <c r="T105"/>
  <c r="U100"/>
  <c r="U105" s="1"/>
  <c r="T58"/>
  <c r="U48"/>
  <c r="U58" s="1"/>
  <c r="V143"/>
  <c r="T37"/>
  <c r="U32"/>
  <c r="U37" s="1"/>
  <c r="T162"/>
  <c r="U151"/>
  <c r="U162" s="1"/>
  <c r="W177"/>
  <c r="T171"/>
  <c r="U163"/>
  <c r="U171" s="1"/>
  <c r="T140"/>
  <c r="U136"/>
  <c r="U140" s="1"/>
  <c r="T92"/>
  <c r="U83"/>
  <c r="T23"/>
  <c r="U12"/>
  <c r="U23" s="1"/>
  <c r="T177"/>
  <c r="U172"/>
  <c r="U177" s="1"/>
  <c r="U127"/>
  <c r="U135" s="1"/>
  <c r="T135"/>
  <c r="T126"/>
  <c r="U116"/>
  <c r="U93"/>
  <c r="U99" s="1"/>
  <c r="T99"/>
  <c r="U68"/>
  <c r="U72" s="1"/>
  <c r="T72"/>
  <c r="V116" i="14"/>
  <c r="X49"/>
  <c r="AB80"/>
  <c r="X82"/>
  <c r="T109"/>
  <c r="U47" i="4" l="1"/>
  <c r="AA12" i="14"/>
  <c r="N221" i="4"/>
  <c r="AB37" i="14"/>
  <c r="V109"/>
  <c r="V127" s="1"/>
  <c r="X69"/>
  <c r="AB68"/>
  <c r="AB91"/>
  <c r="X92"/>
  <c r="X60"/>
  <c r="AB59"/>
  <c r="AB21"/>
  <c r="X27"/>
  <c r="U127"/>
  <c r="T47" i="4"/>
  <c r="T150"/>
  <c r="W142" s="1"/>
  <c r="U126"/>
  <c r="U150" s="1"/>
  <c r="T115"/>
  <c r="W105" s="1"/>
  <c r="U92"/>
  <c r="U115" s="1"/>
  <c r="T188"/>
  <c r="T82"/>
  <c r="W71" s="1"/>
  <c r="U188"/>
  <c r="U82"/>
  <c r="AB110" i="14"/>
  <c r="X112"/>
  <c r="U221" i="4" l="1"/>
  <c r="W35"/>
  <c r="W178"/>
  <c r="W179" s="1"/>
  <c r="Z188"/>
  <c r="I27" i="11"/>
  <c r="H18"/>
  <c r="E24" l="1"/>
  <c r="F24"/>
  <c r="G24"/>
  <c r="H24"/>
  <c r="AE24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H28"/>
  <c r="G28"/>
  <c r="F28"/>
  <c r="E28"/>
  <c r="H27"/>
  <c r="G27"/>
  <c r="F27"/>
  <c r="E27"/>
  <c r="J26"/>
  <c r="J25"/>
  <c r="K25" s="1"/>
  <c r="F17"/>
  <c r="E17"/>
  <c r="D17"/>
  <c r="G16"/>
  <c r="G15"/>
  <c r="G14"/>
  <c r="R14" l="1"/>
  <c r="R16"/>
  <c r="R15"/>
  <c r="K26"/>
  <c r="L26" s="1"/>
  <c r="H16"/>
  <c r="H15"/>
  <c r="H14"/>
  <c r="L31"/>
  <c r="G17"/>
  <c r="J27"/>
  <c r="S15" l="1"/>
  <c r="R17"/>
  <c r="R41" s="1"/>
  <c r="S14"/>
  <c r="L17"/>
  <c r="S16"/>
  <c r="K17"/>
  <c r="H17"/>
  <c r="K27"/>
  <c r="L25"/>
  <c r="L27" s="1"/>
  <c r="S17" l="1"/>
  <c r="Q22" i="3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129" s="1"/>
  <c r="O257"/>
  <c r="G258"/>
  <c r="J258"/>
  <c r="J257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K173"/>
  <c r="G171"/>
  <c r="O171" s="1"/>
  <c r="G172"/>
  <c r="O172" s="1"/>
  <c r="G173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G138"/>
  <c r="O138" s="1"/>
  <c r="G139"/>
  <c r="O139" s="1"/>
  <c r="G140"/>
  <c r="O140" s="1"/>
  <c r="N140" s="1"/>
  <c r="G141"/>
  <c r="O141" s="1"/>
  <c r="G137"/>
  <c r="O137" s="1"/>
  <c r="N137" s="1"/>
  <c r="G135"/>
  <c r="K135"/>
  <c r="K142"/>
  <c r="O142" s="1"/>
  <c r="J140"/>
  <c r="J137"/>
  <c r="K125"/>
  <c r="K127"/>
  <c r="K120"/>
  <c r="K118"/>
  <c r="K108"/>
  <c r="J108" s="1"/>
  <c r="I131"/>
  <c r="H131"/>
  <c r="F131"/>
  <c r="E131"/>
  <c r="G127"/>
  <c r="G125"/>
  <c r="G123"/>
  <c r="O123" s="1"/>
  <c r="G124"/>
  <c r="O124" s="1"/>
  <c r="G122"/>
  <c r="O122" s="1"/>
  <c r="G120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120" l="1"/>
  <c r="O125"/>
  <c r="O135"/>
  <c r="O144"/>
  <c r="O159"/>
  <c r="O173"/>
  <c r="O175"/>
  <c r="O195"/>
  <c r="O252"/>
  <c r="O244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E102"/>
  <c r="E95"/>
  <c r="E88"/>
  <c r="E71"/>
  <c r="E61"/>
  <c r="E54"/>
  <c r="E46"/>
  <c r="E38"/>
  <c r="E31"/>
  <c r="E18"/>
  <c r="F18"/>
  <c r="G16"/>
  <c r="O16" s="1"/>
  <c r="Q23" l="1"/>
  <c r="S24"/>
  <c r="S25" s="1"/>
  <c r="Q38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S39" s="1"/>
  <c r="S40" s="1"/>
  <c r="F31"/>
  <c r="G31" s="1"/>
  <c r="G17"/>
  <c r="M17"/>
  <c r="V16"/>
  <c r="V15"/>
  <c r="Q31" l="1"/>
  <c r="S32"/>
  <c r="S33" s="1"/>
  <c r="Q69"/>
  <c r="N69"/>
  <c r="N80"/>
  <c r="Q80"/>
  <c r="Q79"/>
  <c r="T79" s="1"/>
  <c r="N70"/>
  <c r="N16"/>
  <c r="Q15"/>
  <c r="O15"/>
  <c r="N15"/>
  <c r="N17"/>
  <c r="O17"/>
  <c r="G18"/>
  <c r="N51"/>
  <c r="O70"/>
  <c r="G71"/>
  <c r="V80"/>
  <c r="G54"/>
  <c r="S55" s="1"/>
  <c r="S56" s="1"/>
  <c r="Q16"/>
  <c r="O68"/>
  <c r="Q51"/>
  <c r="V52"/>
  <c r="N68"/>
  <c r="U68"/>
  <c r="V70"/>
  <c r="U69"/>
  <c r="U15"/>
  <c r="N52"/>
  <c r="O52"/>
  <c r="O69"/>
  <c r="U18"/>
  <c r="K268"/>
  <c r="I259"/>
  <c r="H259"/>
  <c r="Q18" l="1"/>
  <c r="S19"/>
  <c r="S20" s="1"/>
  <c r="N71"/>
  <c r="S72"/>
  <c r="S73" s="1"/>
  <c r="T69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G30"/>
  <c r="N255"/>
  <c r="N259" s="1"/>
  <c r="V227"/>
  <c r="U227"/>
  <c r="J227"/>
  <c r="N227"/>
  <c r="E133"/>
  <c r="G78"/>
  <c r="G76"/>
  <c r="N76" s="1"/>
  <c r="G77"/>
  <c r="G53"/>
  <c r="Q53" s="1"/>
  <c r="N81" l="1"/>
  <c r="S82"/>
  <c r="S83" s="1"/>
  <c r="V253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G92"/>
  <c r="M87"/>
  <c r="U87" s="1"/>
  <c r="G87"/>
  <c r="Q87" s="1"/>
  <c r="G86"/>
  <c r="Q86" s="1"/>
  <c r="G88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54"/>
  <c r="G46"/>
  <c r="Q46" l="1"/>
  <c r="S47"/>
  <c r="S48" s="1"/>
  <c r="Q61"/>
  <c r="S62"/>
  <c r="S63" s="1"/>
  <c r="Q95"/>
  <c r="S96"/>
  <c r="S97" s="1"/>
  <c r="S103"/>
  <c r="Q102"/>
  <c r="Q88"/>
  <c r="S89"/>
  <c r="S90" s="1"/>
  <c r="O99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O163" s="1"/>
  <c r="N168"/>
  <c r="L187"/>
  <c r="G180" i="3"/>
  <c r="O103" i="1"/>
  <c r="O115" s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N197" s="1"/>
  <c r="L188"/>
  <c r="L190"/>
  <c r="H202"/>
  <c r="I204"/>
  <c r="J204" s="1"/>
  <c r="J202" s="1"/>
  <c r="L116"/>
  <c r="L150"/>
  <c r="H156"/>
  <c r="Q156" s="1"/>
  <c r="Q159" s="1"/>
  <c r="P181"/>
  <c r="N186"/>
  <c r="L184"/>
  <c r="L192"/>
  <c r="L193" s="1"/>
  <c r="P196"/>
  <c r="N115"/>
  <c r="L104"/>
  <c r="L107" s="1"/>
  <c r="M108"/>
  <c r="M111" s="1"/>
  <c r="H116"/>
  <c r="N119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P186"/>
  <c r="M191"/>
  <c r="O191"/>
  <c r="O197" s="1"/>
  <c r="P190"/>
  <c r="P191" s="1"/>
  <c r="L196"/>
  <c r="P104"/>
  <c r="P107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M102"/>
  <c r="L102" s="1"/>
  <c r="Q108"/>
  <c r="Q111" s="1"/>
  <c r="Q112"/>
  <c r="Q114" s="1"/>
  <c r="Q120"/>
  <c r="Q122"/>
  <c r="P124"/>
  <c r="P127" s="1"/>
  <c r="Q132"/>
  <c r="Q134"/>
  <c r="P138"/>
  <c r="M140"/>
  <c r="Q142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Q123" l="1"/>
  <c r="P115"/>
  <c r="N131"/>
  <c r="L186"/>
  <c r="Q104" i="3"/>
  <c r="P148" i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P119" l="1"/>
  <c r="P131" s="1"/>
  <c r="V203" i="3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20" i="4" l="1"/>
  <c r="W211" l="1"/>
  <c r="T221"/>
  <c r="I24" i="11"/>
  <c r="L24"/>
  <c r="K24"/>
  <c r="K32" s="1"/>
  <c r="J24" l="1"/>
  <c r="J32" s="1"/>
  <c r="AH16" l="1"/>
  <c r="AG16" s="1"/>
  <c r="AH14"/>
  <c r="AG14" s="1"/>
  <c r="AH15"/>
  <c r="AH13"/>
  <c r="AH11"/>
  <c r="AG11" s="1"/>
  <c r="AH12"/>
  <c r="AJ12" l="1"/>
  <c r="AG12"/>
  <c r="AJ13"/>
  <c r="AG13"/>
  <c r="AJ15"/>
  <c r="AG15"/>
  <c r="AJ16"/>
  <c r="AJ11"/>
  <c r="AJ14"/>
  <c r="AH17"/>
  <c r="AI11" l="1"/>
  <c r="AL11"/>
  <c r="AI14"/>
  <c r="AL14"/>
  <c r="AI16"/>
  <c r="AL16"/>
  <c r="AI15"/>
  <c r="AL15"/>
  <c r="AI13"/>
  <c r="AL13"/>
  <c r="AI12"/>
  <c r="AL12"/>
  <c r="AH20"/>
  <c r="AJ19"/>
  <c r="AJ17"/>
  <c r="AL19" s="1"/>
  <c r="AK12" l="1"/>
  <c r="AN12"/>
  <c r="AM12" s="1"/>
  <c r="AK13"/>
  <c r="AN13"/>
  <c r="AM13" s="1"/>
  <c r="AK15"/>
  <c r="AN15"/>
  <c r="AM15" s="1"/>
  <c r="AK16"/>
  <c r="AN16"/>
  <c r="AM16" s="1"/>
  <c r="AK14"/>
  <c r="AN14"/>
  <c r="AM14" s="1"/>
  <c r="AK11"/>
  <c r="AL17"/>
  <c r="AN19" s="1"/>
  <c r="AN11"/>
  <c r="L32"/>
  <c r="AM11" l="1"/>
  <c r="AN17"/>
</calcChain>
</file>

<file path=xl/sharedStrings.xml><?xml version="1.0" encoding="utf-8"?>
<sst xmlns="http://schemas.openxmlformats.org/spreadsheetml/2006/main" count="3938" uniqueCount="422">
  <si>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</si>
  <si>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</si>
  <si>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</si>
  <si>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</si>
  <si>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</si>
  <si>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</si>
  <si>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</si>
  <si>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</si>
  <si>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</si>
  <si>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</si>
  <si>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</si>
  <si>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</si>
  <si>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</si>
  <si>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</si>
  <si>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</si>
  <si>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</si>
  <si>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</si>
  <si>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</si>
  <si>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</si>
  <si>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</si>
  <si>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</si>
  <si>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</si>
  <si>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</si>
  <si>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</si>
  <si>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</si>
  <si>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</si>
  <si>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</si>
  <si>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</si>
  <si>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</si>
  <si>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</si>
  <si>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</si>
  <si>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</si>
  <si>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</si>
  <si>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</si>
  <si>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</si>
  <si>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</si>
  <si>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</si>
  <si>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</si>
  <si>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</si>
  <si>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</si>
  <si>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</si>
  <si>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</si>
  <si>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</si>
  <si>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</si>
  <si>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</si>
  <si>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</si>
  <si>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</si>
  <si>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</si>
  <si>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</si>
  <si>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</si>
  <si>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</si>
  <si>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</si>
  <si>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</si>
  <si>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</si>
  <si>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</si>
  <si>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</si>
  <si>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</si>
  <si>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</si>
  <si>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</si>
  <si>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</si>
  <si>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</si>
  <si>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</si>
  <si>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</si>
  <si>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</si>
  <si>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</si>
  <si>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</si>
  <si>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</si>
  <si>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</si>
  <si>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</si>
  <si>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</si>
  <si>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</si>
  <si>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</si>
  <si>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</si>
  <si>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</si>
  <si>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</si>
  <si>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</si>
  <si>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</si>
  <si>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</si>
  <si>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</si>
  <si>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</si>
  <si>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</si>
  <si>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</si>
  <si>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</si>
  <si>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</si>
  <si>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</si>
  <si>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</si>
  <si>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</si>
  <si>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</si>
  <si>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</si>
  <si>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</si>
  <si>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</si>
  <si>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</si>
  <si>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</si>
  <si>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</si>
  <si>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</si>
  <si>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</si>
  <si>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</si>
  <si>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</si>
  <si>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</si>
  <si>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</si>
  <si>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</si>
  <si>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</si>
  <si>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</si>
  <si>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</si>
  <si>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</si>
  <si>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</si>
  <si>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</si>
  <si>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</si>
  <si>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</si>
  <si>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</si>
  <si>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</si>
  <si>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</si>
  <si>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</si>
  <si>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</si>
  <si>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</si>
  <si>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</si>
  <si>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</si>
  <si>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</si>
  <si>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</si>
  <si>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</si>
  <si>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</si>
  <si>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</si>
  <si>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</si>
  <si>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</si>
  <si>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</si>
  <si>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</si>
  <si>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</si>
  <si>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</si>
  <si>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</si>
  <si>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</si>
  <si>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</si>
  <si>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</si>
  <si>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</si>
  <si>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</si>
  <si>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</si>
  <si>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</si>
  <si>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</si>
  <si>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</si>
  <si>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</si>
  <si>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</si>
  <si>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</si>
  <si>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</si>
  <si>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</si>
  <si>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</si>
  <si>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</si>
  <si>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</si>
  <si>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</si>
  <si>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</si>
  <si>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</si>
  <si>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</si>
  <si>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</si>
  <si>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</si>
  <si>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</si>
  <si>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</si>
  <si>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</si>
  <si>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</si>
  <si>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</si>
  <si>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</si>
  <si>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</si>
  <si>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</si>
  <si>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</si>
  <si>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</si>
  <si>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</si>
  <si>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</si>
  <si>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</si>
  <si>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</si>
  <si>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</si>
  <si>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</si>
  <si>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</si>
  <si>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</si>
  <si>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</si>
  <si>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</si>
  <si>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</si>
  <si>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</si>
  <si>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</si>
  <si>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</si>
  <si>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</si>
  <si>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</si>
  <si>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</si>
  <si>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</si>
  <si>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</si>
  <si>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</si>
  <si>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</si>
  <si>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</si>
  <si>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</si>
  <si>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</si>
  <si>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</si>
  <si>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</si>
  <si>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</si>
  <si>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</si>
  <si>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</si>
  <si>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</si>
  <si>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</si>
  <si>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</si>
  <si>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</si>
  <si>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</si>
  <si>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</si>
  <si>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</si>
  <si>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</si>
  <si>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</si>
  <si>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</si>
  <si>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</si>
  <si>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</si>
  <si>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</si>
  <si>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</si>
  <si>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</si>
  <si>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</si>
  <si>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</si>
  <si>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</si>
  <si>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</si>
  <si>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</si>
  <si>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</si>
  <si>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</si>
  <si>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</si>
  <si>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</si>
  <si>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</si>
  <si>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</si>
  <si>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</si>
  <si>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</si>
  <si>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</si>
  <si>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</si>
  <si>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</si>
  <si>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</si>
  <si>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</si>
  <si>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</si>
  <si>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</si>
  <si>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</si>
  <si>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</si>
  <si>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</si>
  <si>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</si>
  <si>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</si>
  <si>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</si>
  <si>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</si>
  <si>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</si>
  <si>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</si>
  <si>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</si>
  <si>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</si>
  <si>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</si>
  <si>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</si>
  <si>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</si>
  <si>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</si>
  <si>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</si>
  <si>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</si>
  <si>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</si>
  <si>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</si>
  <si>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</si>
  <si>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</si>
  <si>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</si>
  <si>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</si>
  <si>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</si>
  <si>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</si>
  <si>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</si>
  <si>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</si>
  <si>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</si>
  <si>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</si>
  <si>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</si>
  <si>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</si>
  <si>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</si>
  <si>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</si>
  <si>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</si>
  <si>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</si>
  <si>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</si>
  <si>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</si>
  <si>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</si>
  <si>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</si>
  <si>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</si>
  <si>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</si>
  <si>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</si>
  <si>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</si>
  <si>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</si>
  <si>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</si>
  <si>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</si>
  <si>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</si>
  <si>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</si>
  <si>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</si>
  <si>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</si>
  <si>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</si>
  <si>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</si>
  <si>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</si>
  <si>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</si>
  <si>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</si>
  <si>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</si>
  <si>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</si>
  <si>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</si>
  <si>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</si>
  <si>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</si>
  <si>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</si>
  <si>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</si>
  <si>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</si>
  <si>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</si>
  <si>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</si>
  <si>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</si>
  <si>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</si>
  <si>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</si>
  <si>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</si>
  <si>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</si>
  <si>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</si>
  <si>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</si>
  <si>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</si>
  <si>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</si>
  <si>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</si>
  <si>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</si>
  <si>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</si>
  <si>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</si>
  <si>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</si>
  <si>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</si>
  <si>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</si>
  <si>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</si>
  <si>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</si>
  <si>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</si>
  <si>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</si>
  <si>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</si>
  <si>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</si>
  <si>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</si>
  <si>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</si>
  <si>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</si>
  <si>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</si>
  <si>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</si>
  <si>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</si>
  <si>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</si>
  <si>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</si>
  <si>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</si>
  <si>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</si>
  <si>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</si>
  <si>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</si>
  <si>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2023 год</t>
  </si>
  <si>
    <t>к Приказу от 00.00.2021 г. № 000</t>
  </si>
  <si>
    <t>2023 год, всего</t>
  </si>
  <si>
    <t>от 3 до 7 лет (b13)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</si>
  <si>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</si>
  <si>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</si>
  <si>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</si>
  <si>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</si>
  <si>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</si>
  <si>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</si>
  <si>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</si>
  <si>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</si>
  <si>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</si>
  <si>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</si>
  <si>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</si>
  <si>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</si>
  <si>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</si>
  <si>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</si>
  <si>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</si>
  <si>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</si>
  <si>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</si>
  <si>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</si>
  <si>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</si>
  <si>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</si>
  <si>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</si>
  <si>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</si>
  <si>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</si>
  <si>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</si>
  <si>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</si>
  <si>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</si>
  <si>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</si>
  <si>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5\85</t>
  </si>
  <si>
    <t>5\86</t>
  </si>
  <si>
    <t>2\12</t>
  </si>
  <si>
    <t>1\21</t>
  </si>
  <si>
    <t>5\78</t>
  </si>
  <si>
    <t>K4 Группы оздоровительной направленности (за исключением малокомплектных образовательных организаций), городской населенный пункт</t>
  </si>
  <si>
    <t>К12 Группы оздоровительной направленности, в которых воспитанники посещают бассейн</t>
  </si>
  <si>
    <t>от 3 до 7 лет (b8) t1/речь</t>
  </si>
  <si>
    <t>Базовый норматив затрат на единицу объема, на 01.10.21г.</t>
  </si>
  <si>
    <t>Нормативные затраты на оказание муницп-й услуги, на 01.10.21г.</t>
  </si>
  <si>
    <t>Корректировка бюджета 29.09.2021г. (сумма)</t>
  </si>
  <si>
    <t>корректировка 29.09.2021г.</t>
  </si>
  <si>
    <t>Нормативные затраты на оказание муниципальных услуг (работ) на 2022-2024 гг.</t>
  </si>
  <si>
    <t>2024 год</t>
  </si>
  <si>
    <t>Базовый норматив затрат на единицу объема, на 11.01.22г.</t>
  </si>
  <si>
    <t>Нормативные затраты на оказание муницп-й услуги, на 11.01.22г.</t>
  </si>
  <si>
    <t>2022г.</t>
  </si>
  <si>
    <t>объем, 2021г.</t>
  </si>
  <si>
    <t>(чел/час)</t>
  </si>
  <si>
    <t>на 2022г.</t>
  </si>
  <si>
    <t>на 2023-24г.</t>
  </si>
  <si>
    <t>Мисько Галина Владимировна  (39144)3-16-33</t>
  </si>
  <si>
    <t>2023г.</t>
  </si>
  <si>
    <t>2024г.</t>
  </si>
  <si>
    <t>на 01.01.2022 год</t>
  </si>
  <si>
    <t>2022 год c 01.09.2022</t>
  </si>
  <si>
    <t xml:space="preserve">2022 год </t>
  </si>
  <si>
    <t>676205,46- на 1 класс+27940,38 на 1 человека</t>
  </si>
  <si>
    <t>676205,46- на 1 класс+ 1351,63- на 1 человека</t>
  </si>
  <si>
    <t>634729,97- на 1 класс+27940,38 на 1 человека</t>
  </si>
  <si>
    <t>634729,97- на 1 класс+ 1351,63 на 1 человека</t>
  </si>
  <si>
    <t>1000929,97- на 1 класс+ 28238,40 на 1 человека</t>
  </si>
  <si>
    <t>1000929,97- на 1 класс+ 1649,65 на 1 человека</t>
  </si>
  <si>
    <t>793157,42- на 1 класс+ 28238,40 на 1 человека</t>
  </si>
  <si>
    <t>793157,42- на 1 класс+1649,65 на 1 человека</t>
  </si>
  <si>
    <t>847002,05 на 1 класс+ 28587,53 на 1 человека</t>
  </si>
  <si>
    <t>847002,05 на 1 класс+1998,78 на 1 человека</t>
  </si>
  <si>
    <t xml:space="preserve"> c 01.09.2022 год</t>
  </si>
  <si>
    <t>2023год</t>
  </si>
  <si>
    <t>Всего на 2022 год:</t>
  </si>
  <si>
    <t>Численность на м/б, на 2022-2024гг</t>
  </si>
  <si>
    <t>разница суммы финансирования м/у 22годом и 23-24годами</t>
  </si>
  <si>
    <t>Сумма финансир-я</t>
  </si>
  <si>
    <t>26907,25- на 1 человека</t>
  </si>
  <si>
    <t>29961,36- на 1 человека</t>
  </si>
  <si>
    <t>28490,69- на 1 человека</t>
  </si>
  <si>
    <t>Мисько Галина Владимировна (39144)3-16-33</t>
  </si>
  <si>
    <t>Ковалева Лариса Валерьевна (39144)3-79-43</t>
  </si>
  <si>
    <t>Базовый норматив затрат на единицу объема, на 26.01.22г.</t>
  </si>
  <si>
    <t>Нормативные затраты на оказание муницп-й услуги, на 26.01.22г.</t>
  </si>
  <si>
    <t>Корректировка бюджета 26.01.2022г. (сумма)</t>
  </si>
  <si>
    <t>МЗ + ПФ</t>
  </si>
  <si>
    <t>ПФ</t>
  </si>
  <si>
    <t>МЗ</t>
  </si>
  <si>
    <t>спорт</t>
  </si>
  <si>
    <t>усл.</t>
  </si>
  <si>
    <t>минус с МЗ</t>
  </si>
  <si>
    <t>ПФ на 2023-2024гг</t>
  </si>
  <si>
    <t>Базовый норматив на оказан.мун.усл., на 2023-24гг</t>
  </si>
  <si>
    <t>Корректировка бюджета 16.02.22г.</t>
  </si>
  <si>
    <t>решение №19-118-ГС от 16.02.2022г.</t>
  </si>
  <si>
    <t>сумма на МЗ (без спорта)</t>
  </si>
  <si>
    <t>Базовый норматив затрат на единицу объема, на 16.02.22г.</t>
  </si>
  <si>
    <t>Нормативные затраты на оказание муницп-й услуги, на 16.02.22г.</t>
  </si>
  <si>
    <t>дети до 3 лет (b8)</t>
  </si>
  <si>
    <t>к Приказу от 29.04.2022 г. № 94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</si>
</sst>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9" tint="-0.49998474074526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592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0" fillId="0" borderId="4" xfId="0" applyNumberFormat="1" applyFont="1" applyFill="1" applyBorder="1"/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1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19" fillId="3" borderId="3" xfId="3" applyNumberFormat="1" applyFont="1" applyFill="1" applyBorder="1" applyAlignment="1">
      <alignment horizontal="right"/>
    </xf>
    <xf numFmtId="0" fontId="21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18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5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1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6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6" fillId="5" borderId="3" xfId="0" applyNumberFormat="1" applyFont="1" applyFill="1" applyBorder="1" applyAlignment="1">
      <alignment vertical="center"/>
    </xf>
    <xf numFmtId="4" fontId="26" fillId="0" borderId="3" xfId="0" applyNumberFormat="1" applyFont="1" applyFill="1" applyBorder="1" applyAlignment="1">
      <alignment horizontal="center" vertical="center"/>
    </xf>
    <xf numFmtId="4" fontId="26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7" fillId="0" borderId="4" xfId="0" applyFont="1" applyFill="1" applyBorder="1" applyAlignment="1">
      <alignment vertical="center"/>
    </xf>
    <xf numFmtId="171" fontId="27" fillId="0" borderId="4" xfId="0" applyNumberFormat="1" applyFont="1" applyFill="1" applyBorder="1" applyAlignment="1">
      <alignment vertical="center"/>
    </xf>
    <xf numFmtId="0" fontId="29" fillId="0" borderId="4" xfId="0" applyFont="1" applyFill="1" applyBorder="1" applyAlignment="1">
      <alignment horizontal="center" vertical="center"/>
    </xf>
    <xf numFmtId="172" fontId="29" fillId="0" borderId="4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4" fontId="28" fillId="0" borderId="5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vertical="center"/>
    </xf>
    <xf numFmtId="4" fontId="32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28" fillId="0" borderId="3" xfId="0" applyNumberFormat="1" applyFont="1" applyFill="1" applyBorder="1" applyAlignment="1">
      <alignment vertical="center"/>
    </xf>
    <xf numFmtId="4" fontId="30" fillId="0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 vertical="center"/>
    </xf>
    <xf numFmtId="175" fontId="28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4" fontId="29" fillId="0" borderId="3" xfId="0" applyNumberFormat="1" applyFont="1" applyFill="1" applyBorder="1" applyAlignment="1">
      <alignment horizontal="center" vertical="center"/>
    </xf>
    <xf numFmtId="169" fontId="28" fillId="0" borderId="3" xfId="0" applyNumberFormat="1" applyFont="1" applyFill="1" applyBorder="1" applyAlignment="1">
      <alignment horizontal="center" vertical="center"/>
    </xf>
    <xf numFmtId="167" fontId="30" fillId="0" borderId="3" xfId="0" applyNumberFormat="1" applyFont="1" applyFill="1" applyBorder="1" applyAlignment="1">
      <alignment horizontal="center" vertical="center"/>
    </xf>
    <xf numFmtId="174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6" fillId="9" borderId="3" xfId="0" applyNumberFormat="1" applyFont="1" applyFill="1" applyBorder="1" applyAlignment="1">
      <alignment vertical="center"/>
    </xf>
    <xf numFmtId="4" fontId="35" fillId="0" borderId="3" xfId="0" applyNumberFormat="1" applyFont="1" applyFill="1" applyBorder="1" applyAlignment="1">
      <alignment vertical="center"/>
    </xf>
    <xf numFmtId="4" fontId="38" fillId="0" borderId="3" xfId="0" applyNumberFormat="1" applyFont="1" applyFill="1" applyBorder="1"/>
    <xf numFmtId="168" fontId="26" fillId="5" borderId="3" xfId="0" applyNumberFormat="1" applyFont="1" applyFill="1" applyBorder="1" applyAlignment="1">
      <alignment horizontal="center" vertical="center"/>
    </xf>
    <xf numFmtId="4" fontId="26" fillId="0" borderId="3" xfId="0" applyNumberFormat="1" applyFont="1" applyFill="1" applyBorder="1" applyAlignment="1">
      <alignment horizontal="center"/>
    </xf>
    <xf numFmtId="4" fontId="26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0" fontId="2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6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 vertical="center" wrapText="1"/>
    </xf>
    <xf numFmtId="4" fontId="26" fillId="12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7" fillId="12" borderId="3" xfId="0" applyNumberFormat="1" applyFont="1" applyFill="1" applyBorder="1" applyAlignment="1">
      <alignment horizontal="center" vertical="center"/>
    </xf>
    <xf numFmtId="167" fontId="39" fillId="10" borderId="3" xfId="0" applyNumberFormat="1" applyFont="1" applyFill="1" applyBorder="1" applyAlignment="1">
      <alignment horizontal="center" vertical="center"/>
    </xf>
    <xf numFmtId="167" fontId="38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4" fontId="26" fillId="13" borderId="3" xfId="0" applyNumberFormat="1" applyFont="1" applyFill="1" applyBorder="1" applyAlignment="1">
      <alignment horizontal="center" vertical="center"/>
    </xf>
    <xf numFmtId="167" fontId="39" fillId="13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4" fontId="26" fillId="14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4" fontId="26" fillId="14" borderId="3" xfId="0" applyNumberFormat="1" applyFont="1" applyFill="1" applyBorder="1" applyAlignment="1">
      <alignment horizontal="center"/>
    </xf>
    <xf numFmtId="0" fontId="16" fillId="5" borderId="3" xfId="0" applyFont="1" applyFill="1" applyBorder="1" applyAlignment="1">
      <alignment vertical="center" wrapText="1"/>
    </xf>
    <xf numFmtId="4" fontId="26" fillId="5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2" fontId="16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wrapText="1"/>
    </xf>
    <xf numFmtId="0" fontId="1" fillId="13" borderId="3" xfId="0" applyFont="1" applyFill="1" applyBorder="1"/>
    <xf numFmtId="3" fontId="16" fillId="13" borderId="3" xfId="0" applyNumberFormat="1" applyFont="1" applyFill="1" applyBorder="1" applyAlignment="1">
      <alignment horizontal="center" vertical="center"/>
    </xf>
    <xf numFmtId="3" fontId="26" fillId="13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/>
    </xf>
    <xf numFmtId="4" fontId="40" fillId="10" borderId="3" xfId="0" applyNumberFormat="1" applyFont="1" applyFill="1" applyBorder="1" applyAlignment="1">
      <alignment horizontal="center" vertical="center"/>
    </xf>
    <xf numFmtId="4" fontId="26" fillId="0" borderId="3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 wrapText="1"/>
    </xf>
    <xf numFmtId="4" fontId="26" fillId="3" borderId="3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3" fontId="1" fillId="0" borderId="4" xfId="3" applyNumberFormat="1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40" fillId="10" borderId="3" xfId="0" applyNumberFormat="1" applyFont="1" applyFill="1" applyBorder="1" applyAlignment="1">
      <alignment horizontal="center"/>
    </xf>
    <xf numFmtId="0" fontId="42" fillId="0" borderId="3" xfId="0" applyFont="1" applyFill="1" applyBorder="1" applyAlignment="1">
      <alignment wrapText="1"/>
    </xf>
    <xf numFmtId="175" fontId="16" fillId="6" borderId="3" xfId="0" applyNumberFormat="1" applyFont="1" applyFill="1" applyBorder="1" applyAlignment="1">
      <alignment vertical="center"/>
    </xf>
    <xf numFmtId="4" fontId="16" fillId="5" borderId="3" xfId="0" applyNumberFormat="1" applyFont="1" applyFill="1" applyBorder="1" applyAlignment="1">
      <alignment horizontal="center" vertical="center"/>
    </xf>
    <xf numFmtId="3" fontId="16" fillId="13" borderId="4" xfId="0" applyNumberFormat="1" applyFont="1" applyFill="1" applyBorder="1" applyAlignment="1">
      <alignment horizontal="center" vertical="center" wrapText="1"/>
    </xf>
    <xf numFmtId="3" fontId="26" fillId="13" borderId="4" xfId="0" applyNumberFormat="1" applyFont="1" applyFill="1" applyBorder="1" applyAlignment="1">
      <alignment horizontal="center" vertical="center" wrapText="1"/>
    </xf>
    <xf numFmtId="4" fontId="41" fillId="0" borderId="4" xfId="0" applyNumberFormat="1" applyFont="1" applyFill="1" applyBorder="1" applyAlignment="1">
      <alignment horizontal="center" vertic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175" fontId="16" fillId="0" borderId="3" xfId="0" applyNumberFormat="1" applyFont="1" applyFill="1" applyBorder="1"/>
    <xf numFmtId="175" fontId="16" fillId="0" borderId="3" xfId="0" applyNumberFormat="1" applyFont="1" applyFill="1" applyBorder="1" applyAlignment="1">
      <alignment vertical="center"/>
    </xf>
    <xf numFmtId="4" fontId="26" fillId="0" borderId="4" xfId="0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vertical="center" wrapText="1"/>
    </xf>
    <xf numFmtId="4" fontId="26" fillId="3" borderId="4" xfId="0" applyNumberFormat="1" applyFont="1" applyFill="1" applyBorder="1" applyAlignment="1">
      <alignment vertical="center" wrapText="1"/>
    </xf>
    <xf numFmtId="4" fontId="26" fillId="7" borderId="4" xfId="0" applyNumberFormat="1" applyFont="1" applyFill="1" applyBorder="1" applyAlignment="1">
      <alignment horizontal="center" vertical="center" wrapText="1"/>
    </xf>
    <xf numFmtId="4" fontId="26" fillId="16" borderId="4" xfId="0" applyNumberFormat="1" applyFont="1" applyFill="1" applyBorder="1" applyAlignment="1">
      <alignment horizontal="center" vertical="center" wrapText="1"/>
    </xf>
    <xf numFmtId="3" fontId="16" fillId="14" borderId="4" xfId="0" applyNumberFormat="1" applyFont="1" applyFill="1" applyBorder="1" applyAlignment="1">
      <alignment horizontal="center" vertical="center" wrapText="1"/>
    </xf>
    <xf numFmtId="4" fontId="16" fillId="11" borderId="4" xfId="0" applyNumberFormat="1" applyFont="1" applyFill="1" applyBorder="1" applyAlignment="1">
      <alignment horizontal="center" vertical="center" wrapText="1"/>
    </xf>
    <xf numFmtId="3" fontId="26" fillId="14" borderId="4" xfId="0" applyNumberFormat="1" applyFont="1" applyFill="1" applyBorder="1" applyAlignment="1">
      <alignment horizontal="center" vertical="center" wrapText="1"/>
    </xf>
    <xf numFmtId="3" fontId="16" fillId="17" borderId="4" xfId="0" applyNumberFormat="1" applyFont="1" applyFill="1" applyBorder="1" applyAlignment="1">
      <alignment horizontal="center" vertical="center" wrapText="1"/>
    </xf>
    <xf numFmtId="3" fontId="26" fillId="17" borderId="4" xfId="0" applyNumberFormat="1" applyFont="1" applyFill="1" applyBorder="1" applyAlignment="1">
      <alignment horizontal="center" vertical="center" wrapText="1"/>
    </xf>
    <xf numFmtId="0" fontId="1" fillId="15" borderId="3" xfId="0" applyFont="1" applyFill="1" applyBorder="1"/>
    <xf numFmtId="4" fontId="39" fillId="15" borderId="4" xfId="0" applyNumberFormat="1" applyFont="1" applyFill="1" applyBorder="1" applyAlignment="1">
      <alignment horizontal="center" vertical="center" wrapText="1"/>
    </xf>
    <xf numFmtId="3" fontId="35" fillId="3" borderId="4" xfId="0" applyNumberFormat="1" applyFont="1" applyFill="1" applyBorder="1" applyAlignment="1">
      <alignment horizontal="right" wrapText="1"/>
    </xf>
    <xf numFmtId="4" fontId="38" fillId="0" borderId="4" xfId="0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wrapText="1"/>
    </xf>
    <xf numFmtId="4" fontId="1" fillId="0" borderId="4" xfId="0" applyNumberFormat="1" applyFont="1" applyFill="1" applyBorder="1" applyAlignment="1"/>
    <xf numFmtId="4" fontId="2" fillId="0" borderId="4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4" fontId="43" fillId="14" borderId="3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horizontal="right"/>
    </xf>
    <xf numFmtId="175" fontId="26" fillId="0" borderId="4" xfId="0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right"/>
    </xf>
    <xf numFmtId="4" fontId="26" fillId="0" borderId="4" xfId="0" applyNumberFormat="1" applyFont="1" applyFill="1" applyBorder="1" applyAlignment="1">
      <alignment horizontal="center"/>
    </xf>
    <xf numFmtId="4" fontId="44" fillId="0" borderId="7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vertical="center" wrapText="1"/>
    </xf>
    <xf numFmtId="4" fontId="39" fillId="0" borderId="4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26" fillId="5" borderId="8" xfId="0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/>
    </xf>
    <xf numFmtId="4" fontId="3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vertical="center" wrapText="1"/>
    </xf>
    <xf numFmtId="4" fontId="26" fillId="5" borderId="4" xfId="0" applyNumberFormat="1" applyFont="1" applyFill="1" applyBorder="1" applyAlignment="1">
      <alignment vertical="center" wrapText="1"/>
    </xf>
    <xf numFmtId="4" fontId="39" fillId="5" borderId="4" xfId="0" applyNumberFormat="1" applyFont="1" applyFill="1" applyBorder="1" applyAlignment="1">
      <alignment vertical="center"/>
    </xf>
    <xf numFmtId="4" fontId="26" fillId="9" borderId="3" xfId="0" applyNumberFormat="1" applyFont="1" applyFill="1" applyBorder="1" applyAlignment="1">
      <alignment vertical="center" wrapText="1"/>
    </xf>
    <xf numFmtId="4" fontId="20" fillId="17" borderId="3" xfId="0" applyNumberFormat="1" applyFont="1" applyFill="1" applyBorder="1"/>
    <xf numFmtId="0" fontId="44" fillId="0" borderId="3" xfId="0" applyFont="1" applyFill="1" applyBorder="1" applyAlignment="1">
      <alignment vertical="center" wrapText="1"/>
    </xf>
    <xf numFmtId="4" fontId="44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4" fontId="39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43" fillId="0" borderId="3" xfId="0" applyNumberFormat="1" applyFont="1" applyFill="1" applyBorder="1" applyAlignment="1">
      <alignment horizontal="center" vertical="center" wrapText="1"/>
    </xf>
    <xf numFmtId="4" fontId="43" fillId="14" borderId="3" xfId="0" applyNumberFormat="1" applyFont="1" applyFill="1" applyBorder="1" applyAlignment="1">
      <alignment vertical="center"/>
    </xf>
    <xf numFmtId="4" fontId="16" fillId="17" borderId="3" xfId="0" applyNumberFormat="1" applyFont="1" applyFill="1" applyBorder="1" applyAlignment="1">
      <alignment horizontal="center"/>
    </xf>
    <xf numFmtId="4" fontId="16" fillId="12" borderId="4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vertical="center" wrapText="1"/>
    </xf>
    <xf numFmtId="0" fontId="39" fillId="0" borderId="4" xfId="0" applyFont="1" applyFill="1" applyBorder="1" applyAlignment="1">
      <alignment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1" fontId="20" fillId="0" borderId="4" xfId="0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vertical="center" wrapText="1"/>
    </xf>
    <xf numFmtId="4" fontId="39" fillId="0" borderId="4" xfId="0" applyNumberFormat="1" applyFont="1" applyFill="1" applyBorder="1" applyAlignment="1">
      <alignment vertical="center" wrapText="1"/>
    </xf>
    <xf numFmtId="4" fontId="20" fillId="5" borderId="4" xfId="0" applyNumberFormat="1" applyFont="1" applyFill="1" applyBorder="1" applyAlignment="1">
      <alignment vertical="center" wrapText="1"/>
    </xf>
    <xf numFmtId="4" fontId="39" fillId="3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45" fillId="0" borderId="4" xfId="0" applyNumberFormat="1" applyFont="1" applyFill="1" applyBorder="1" applyAlignment="1">
      <alignment horizontal="center" wrapText="1"/>
    </xf>
    <xf numFmtId="3" fontId="20" fillId="0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4" fontId="26" fillId="12" borderId="4" xfId="0" applyNumberFormat="1" applyFont="1" applyFill="1" applyBorder="1" applyAlignment="1">
      <alignment horizontal="center" vertical="center" wrapText="1"/>
    </xf>
    <xf numFmtId="4" fontId="46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26" fillId="17" borderId="3" xfId="0" applyFont="1" applyFill="1" applyBorder="1" applyAlignment="1">
      <alignment vertical="center" wrapText="1"/>
    </xf>
    <xf numFmtId="4" fontId="39" fillId="17" borderId="3" xfId="0" applyNumberFormat="1" applyFont="1" applyFill="1" applyBorder="1" applyAlignment="1">
      <alignment horizontal="center" vertical="center" wrapText="1"/>
    </xf>
    <xf numFmtId="0" fontId="26" fillId="17" borderId="3" xfId="0" applyFont="1" applyFill="1" applyBorder="1" applyAlignment="1">
      <alignment horizontal="center" vertical="center" wrapText="1"/>
    </xf>
    <xf numFmtId="0" fontId="16" fillId="17" borderId="3" xfId="0" applyFont="1" applyFill="1" applyBorder="1" applyAlignment="1">
      <alignment horizontal="center" vertical="center" wrapText="1"/>
    </xf>
    <xf numFmtId="4" fontId="26" fillId="17" borderId="3" xfId="0" applyNumberFormat="1" applyFont="1" applyFill="1" applyBorder="1" applyAlignment="1">
      <alignment horizontal="center" vertical="center" wrapText="1"/>
    </xf>
    <xf numFmtId="4" fontId="42" fillId="12" borderId="8" xfId="0" applyNumberFormat="1" applyFont="1" applyFill="1" applyBorder="1" applyAlignment="1">
      <alignment horizontal="center" vertical="center" wrapText="1"/>
    </xf>
    <xf numFmtId="4" fontId="33" fillId="0" borderId="4" xfId="0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22" fillId="0" borderId="4" xfId="3" applyFont="1" applyFill="1" applyBorder="1" applyAlignment="1">
      <alignment horizontal="center" vertical="center" wrapText="1"/>
    </xf>
    <xf numFmtId="0" fontId="1" fillId="12" borderId="4" xfId="3" applyFont="1" applyFill="1" applyBorder="1" applyAlignment="1">
      <alignment horizontal="center" vertical="center"/>
    </xf>
    <xf numFmtId="0" fontId="1" fillId="12" borderId="4" xfId="3" applyFont="1" applyFill="1" applyBorder="1" applyAlignment="1">
      <alignment horizontal="center" vertical="center" wrapText="1"/>
    </xf>
    <xf numFmtId="4" fontId="2" fillId="12" borderId="4" xfId="3" applyNumberFormat="1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4" fillId="3" borderId="9" xfId="3" applyFont="1" applyFill="1" applyBorder="1"/>
    <xf numFmtId="0" fontId="24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vertical="center" wrapText="1"/>
    </xf>
    <xf numFmtId="0" fontId="39" fillId="0" borderId="9" xfId="0" applyFont="1" applyFill="1" applyBorder="1" applyAlignment="1">
      <alignment vertical="center" wrapText="1"/>
    </xf>
    <xf numFmtId="0" fontId="39" fillId="0" borderId="10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6" fillId="13" borderId="1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518" t="s">
        <v>1</v>
      </c>
      <c r="B3" s="518"/>
      <c r="C3" s="519"/>
      <c r="D3" s="518"/>
      <c r="E3" s="518"/>
      <c r="F3" s="518"/>
      <c r="G3" s="518"/>
      <c r="H3" s="518"/>
      <c r="I3" s="519"/>
      <c r="J3" s="518"/>
      <c r="K3" s="518"/>
      <c r="L3" s="518"/>
      <c r="M3" s="518"/>
      <c r="N3" s="519"/>
      <c r="O3" s="518"/>
      <c r="P3" s="518"/>
      <c r="Q3" s="518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525" t="s">
        <v>5</v>
      </c>
      <c r="F6" s="525"/>
      <c r="G6" s="525"/>
      <c r="H6" s="516" t="s">
        <v>6</v>
      </c>
      <c r="I6" s="516"/>
      <c r="J6" s="516"/>
      <c r="K6" s="516"/>
      <c r="L6" s="516" t="s">
        <v>7</v>
      </c>
      <c r="M6" s="516"/>
      <c r="N6" s="516"/>
      <c r="O6" s="516"/>
      <c r="P6" s="516"/>
      <c r="Q6" s="516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517" t="s">
        <v>8</v>
      </c>
      <c r="M7" s="517"/>
      <c r="N7" s="517"/>
      <c r="O7" s="517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514" t="s">
        <v>154</v>
      </c>
      <c r="B96" s="514"/>
      <c r="C96" s="514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520" t="s">
        <v>3</v>
      </c>
      <c r="B97" s="520" t="s">
        <v>86</v>
      </c>
      <c r="C97" s="7" t="s">
        <v>87</v>
      </c>
      <c r="D97" s="520" t="s">
        <v>4</v>
      </c>
      <c r="E97" s="520" t="s">
        <v>5</v>
      </c>
      <c r="F97" s="520"/>
      <c r="G97" s="520"/>
      <c r="H97" s="520" t="s">
        <v>6</v>
      </c>
      <c r="I97" s="520"/>
      <c r="J97" s="520"/>
      <c r="K97" s="520"/>
      <c r="L97" s="520" t="s">
        <v>7</v>
      </c>
      <c r="M97" s="520"/>
      <c r="N97" s="520"/>
      <c r="O97" s="520"/>
      <c r="P97" s="520"/>
      <c r="Q97" s="520"/>
    </row>
    <row r="98" spans="1:17" ht="110.4">
      <c r="A98" s="520"/>
      <c r="B98" s="520"/>
      <c r="C98" s="7"/>
      <c r="D98" s="520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515" t="s">
        <v>98</v>
      </c>
      <c r="B100" s="51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515"/>
      <c r="B101" s="51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515"/>
      <c r="B102" s="51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515"/>
      <c r="B103" s="512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515"/>
      <c r="B104" s="51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515"/>
      <c r="B105" s="51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515"/>
      <c r="B106" s="51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515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515"/>
      <c r="B108" s="51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515"/>
      <c r="B109" s="51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515"/>
      <c r="B110" s="51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515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515"/>
      <c r="B112" s="51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515"/>
      <c r="B113" s="51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515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515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515" t="s">
        <v>113</v>
      </c>
      <c r="B116" s="51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515"/>
      <c r="B117" s="51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515"/>
      <c r="B118" s="51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515"/>
      <c r="B119" s="51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515"/>
      <c r="B120" s="51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515"/>
      <c r="B121" s="51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515"/>
      <c r="B122" s="51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515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515"/>
      <c r="B124" s="51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515"/>
      <c r="B125" s="51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515"/>
      <c r="B126" s="51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515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515"/>
      <c r="B128" s="51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515"/>
      <c r="B129" s="51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515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515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515" t="s">
        <v>114</v>
      </c>
      <c r="B132" s="51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515"/>
      <c r="B133" s="51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515"/>
      <c r="B134" s="51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515"/>
      <c r="B135" s="512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515"/>
      <c r="B136" s="51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515"/>
      <c r="B137" s="51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515"/>
      <c r="B138" s="51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515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515"/>
      <c r="B140" s="51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515"/>
      <c r="B141" s="51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515"/>
      <c r="B142" s="51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515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515"/>
      <c r="B144" s="51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515"/>
      <c r="B145" s="51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515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515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515" t="s">
        <v>115</v>
      </c>
      <c r="B148" s="51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515"/>
      <c r="B149" s="51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515"/>
      <c r="B150" s="51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515"/>
      <c r="B151" s="512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515"/>
      <c r="B152" s="51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515"/>
      <c r="B153" s="51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515"/>
      <c r="B154" s="51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515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515"/>
      <c r="B156" s="51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515"/>
      <c r="B157" s="51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515"/>
      <c r="B158" s="51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515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515"/>
      <c r="B160" s="51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515"/>
      <c r="B161" s="51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515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515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515" t="s">
        <v>116</v>
      </c>
      <c r="B164" s="51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515"/>
      <c r="B165" s="51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515"/>
      <c r="B166" s="51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515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515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515"/>
      <c r="B169" s="51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515"/>
      <c r="B170" s="51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515"/>
      <c r="B171" s="51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515"/>
      <c r="B172" s="51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515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515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515"/>
      <c r="B175" s="51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515"/>
      <c r="B176" s="51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515"/>
      <c r="B177" s="51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515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515"/>
      <c r="B179" s="51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515"/>
      <c r="B180" s="51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515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515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515" t="s">
        <v>119</v>
      </c>
      <c r="B183" s="51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515"/>
      <c r="B184" s="51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515"/>
      <c r="B185" s="51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515"/>
      <c r="B186" s="51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515"/>
      <c r="B187" s="51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515"/>
      <c r="B188" s="51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515"/>
      <c r="B189" s="51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515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515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515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515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515"/>
      <c r="B194" s="51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515"/>
      <c r="B195" s="51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515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515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523" t="s">
        <v>5</v>
      </c>
      <c r="E199" s="523"/>
      <c r="F199" s="523"/>
      <c r="G199" s="524" t="s">
        <v>6</v>
      </c>
      <c r="H199" s="524" t="s">
        <v>7</v>
      </c>
      <c r="I199" s="524"/>
      <c r="J199" s="524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524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521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522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534" t="s">
        <v>207</v>
      </c>
      <c r="B5" s="534"/>
      <c r="C5" s="535"/>
      <c r="D5" s="534"/>
      <c r="E5" s="534"/>
      <c r="F5" s="535"/>
      <c r="G5" s="535"/>
      <c r="H5" s="534"/>
      <c r="I5" s="534"/>
      <c r="J5" s="534"/>
      <c r="K5" s="535"/>
      <c r="L5" s="534"/>
      <c r="M5" s="534"/>
      <c r="N5" s="534"/>
      <c r="O5" s="534"/>
      <c r="P5" s="535"/>
      <c r="Q5" s="535"/>
      <c r="R5" s="535"/>
      <c r="S5" s="535"/>
      <c r="T5" s="534"/>
      <c r="U5" s="534"/>
      <c r="V5" s="534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536" t="s">
        <v>6</v>
      </c>
      <c r="K8" s="537"/>
      <c r="L8" s="537"/>
      <c r="M8" s="538"/>
      <c r="N8" s="527" t="s">
        <v>7</v>
      </c>
      <c r="O8" s="527"/>
      <c r="P8" s="527"/>
      <c r="Q8" s="527"/>
      <c r="R8" s="527"/>
      <c r="S8" s="527"/>
      <c r="T8" s="527"/>
      <c r="U8" s="527"/>
      <c r="V8" s="527"/>
    </row>
    <row r="9" spans="1:24">
      <c r="A9" s="109"/>
      <c r="B9" s="109"/>
      <c r="C9" s="109"/>
      <c r="D9" s="109"/>
      <c r="E9" s="541"/>
      <c r="F9" s="542"/>
      <c r="G9" s="543"/>
      <c r="H9" s="108"/>
      <c r="I9" s="108"/>
      <c r="J9" s="142"/>
      <c r="K9" s="142"/>
      <c r="L9" s="142"/>
      <c r="M9" s="142"/>
      <c r="N9" s="536"/>
      <c r="O9" s="546"/>
      <c r="P9" s="546"/>
      <c r="Q9" s="546"/>
      <c r="R9" s="546"/>
      <c r="S9" s="546"/>
      <c r="T9" s="547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539" t="s">
        <v>176</v>
      </c>
      <c r="O10" s="539"/>
      <c r="P10" s="539"/>
      <c r="Q10" s="539"/>
      <c r="R10" s="539"/>
      <c r="S10" s="539"/>
      <c r="T10" s="539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548" t="s">
        <v>78</v>
      </c>
      <c r="D68" s="550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549"/>
      <c r="D69" s="551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540" t="s">
        <v>154</v>
      </c>
      <c r="B104" s="540"/>
      <c r="C104" s="540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544" t="s">
        <v>3</v>
      </c>
      <c r="B105" s="544" t="s">
        <v>86</v>
      </c>
      <c r="C105" s="114" t="s">
        <v>87</v>
      </c>
      <c r="D105" s="544" t="s">
        <v>4</v>
      </c>
      <c r="E105" s="545" t="s">
        <v>5</v>
      </c>
      <c r="F105" s="545"/>
      <c r="G105" s="545"/>
      <c r="H105" s="545"/>
      <c r="I105" s="545"/>
      <c r="J105" s="533" t="s">
        <v>6</v>
      </c>
      <c r="K105" s="533"/>
      <c r="L105" s="533"/>
      <c r="M105" s="533"/>
      <c r="N105" s="533" t="s">
        <v>7</v>
      </c>
      <c r="O105" s="533"/>
      <c r="P105" s="533"/>
      <c r="Q105" s="533"/>
      <c r="R105" s="533"/>
      <c r="S105" s="533"/>
      <c r="T105" s="533"/>
      <c r="U105" s="533"/>
      <c r="V105" s="533"/>
    </row>
    <row r="106" spans="1:22" ht="110.4">
      <c r="A106" s="544"/>
      <c r="B106" s="544"/>
      <c r="C106" s="114"/>
      <c r="D106" s="544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528" t="s">
        <v>98</v>
      </c>
      <c r="B108" s="530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528"/>
      <c r="B109" s="531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528"/>
      <c r="B110" s="531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528"/>
      <c r="B111" s="531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528"/>
      <c r="B112" s="531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528"/>
      <c r="B113" s="531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528"/>
      <c r="B114" s="531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528"/>
      <c r="B115" s="531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528"/>
      <c r="B116" s="531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528"/>
      <c r="B117" s="531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528"/>
      <c r="B118" s="531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528"/>
      <c r="B119" s="532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528"/>
      <c r="B120" s="529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528"/>
      <c r="B121" s="529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528"/>
      <c r="B122" s="529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528"/>
      <c r="B123" s="529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528"/>
      <c r="B124" s="529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528"/>
      <c r="B125" s="529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528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528"/>
      <c r="B127" s="529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528"/>
      <c r="B128" s="529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528"/>
      <c r="B129" s="529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528"/>
      <c r="B130" s="529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528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528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528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528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528" t="s">
        <v>113</v>
      </c>
      <c r="B135" s="529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528"/>
      <c r="B136" s="529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528"/>
      <c r="B137" s="529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528"/>
      <c r="B138" s="529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528"/>
      <c r="B139" s="529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528"/>
      <c r="B140" s="529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528"/>
      <c r="B141" s="529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528"/>
      <c r="B142" s="529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528"/>
      <c r="B143" s="529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528"/>
      <c r="B144" s="529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528"/>
      <c r="B145" s="529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528"/>
      <c r="B146" s="529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528"/>
      <c r="B147" s="529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528"/>
      <c r="B148" s="529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528"/>
      <c r="B149" s="529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528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528"/>
      <c r="B151" s="529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528"/>
      <c r="B152" s="529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528"/>
      <c r="B153" s="529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528"/>
      <c r="B154" s="529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528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528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528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528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528" t="s">
        <v>114</v>
      </c>
      <c r="B159" s="529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528"/>
      <c r="B160" s="529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528"/>
      <c r="B161" s="529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528"/>
      <c r="B162" s="529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528"/>
      <c r="B163" s="529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528"/>
      <c r="B164" s="529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528"/>
      <c r="B165" s="529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528"/>
      <c r="B166" s="529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528"/>
      <c r="B167" s="529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528"/>
      <c r="B168" s="529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528"/>
      <c r="B169" s="529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528"/>
      <c r="B170" s="529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528"/>
      <c r="B171" s="529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528"/>
      <c r="B172" s="529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528"/>
      <c r="B173" s="529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528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528"/>
      <c r="B175" s="529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528"/>
      <c r="B176" s="529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528"/>
      <c r="B177" s="529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528"/>
      <c r="B178" s="529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528"/>
      <c r="B179" s="529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528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528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528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528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528" t="s">
        <v>115</v>
      </c>
      <c r="B184" s="529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528"/>
      <c r="B185" s="529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528"/>
      <c r="B186" s="529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528"/>
      <c r="B187" s="529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528"/>
      <c r="B188" s="529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528"/>
      <c r="B189" s="529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528"/>
      <c r="B190" s="529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528"/>
      <c r="B191" s="529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528"/>
      <c r="B192" s="529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528"/>
      <c r="B193" s="529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528"/>
      <c r="B194" s="529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528"/>
      <c r="B195" s="529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528"/>
      <c r="B196" s="529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528"/>
      <c r="B197" s="529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528"/>
      <c r="B198" s="529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528"/>
      <c r="B199" s="529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528"/>
      <c r="B200" s="529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528"/>
      <c r="B201" s="529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528"/>
      <c r="B202" s="529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528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528"/>
      <c r="B204" s="529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528"/>
      <c r="B205" s="529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528"/>
      <c r="B206" s="529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528"/>
      <c r="B207" s="529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528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528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528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528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528" t="s">
        <v>116</v>
      </c>
      <c r="B212" s="530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528"/>
      <c r="B213" s="531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528"/>
      <c r="B214" s="531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528"/>
      <c r="B215" s="531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528"/>
      <c r="B216" s="531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528"/>
      <c r="B217" s="531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528"/>
      <c r="B218" s="531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528"/>
      <c r="B219" s="531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528"/>
      <c r="B220" s="531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528"/>
      <c r="B221" s="531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528"/>
      <c r="B222" s="532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528"/>
      <c r="B223" s="530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528"/>
      <c r="B224" s="531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528"/>
      <c r="B225" s="531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528"/>
      <c r="B226" s="531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528"/>
      <c r="B227" s="531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528"/>
      <c r="B228" s="531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528"/>
      <c r="B229" s="531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528"/>
      <c r="B230" s="531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528"/>
      <c r="B231" s="532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528"/>
      <c r="B232" s="530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528"/>
      <c r="B233" s="531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528"/>
      <c r="B234" s="531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528"/>
      <c r="B235" s="531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528"/>
      <c r="B236" s="531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528"/>
      <c r="B237" s="532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528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528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528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528" t="s">
        <v>119</v>
      </c>
      <c r="B241" s="529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528"/>
      <c r="B242" s="529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528"/>
      <c r="B243" s="529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528"/>
      <c r="B244" s="529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528"/>
      <c r="B245" s="529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528"/>
      <c r="B246" s="529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528"/>
      <c r="B247" s="529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528"/>
      <c r="B248" s="529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528"/>
      <c r="B249" s="529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528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528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528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528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528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528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528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528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528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528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528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528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528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526" t="s">
        <v>5</v>
      </c>
      <c r="E264" s="526"/>
      <c r="F264" s="526"/>
      <c r="G264" s="526"/>
      <c r="H264" s="526"/>
      <c r="I264" s="527" t="s">
        <v>6</v>
      </c>
      <c r="J264" s="527" t="s">
        <v>7</v>
      </c>
      <c r="K264" s="527"/>
      <c r="L264" s="527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527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7"/>
  <sheetViews>
    <sheetView zoomScale="74" zoomScaleNormal="74" workbookViewId="0">
      <pane xSplit="4" ySplit="11" topLeftCell="J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customWidth="1"/>
    <col min="8" max="8" width="12.88671875" style="182" bestFit="1" customWidth="1"/>
    <col min="9" max="9" width="12.109375" style="182" bestFit="1" customWidth="1"/>
    <col min="10" max="10" width="15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19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326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421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552" t="s">
        <v>368</v>
      </c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2"/>
      <c r="Q7" s="552"/>
      <c r="R7" s="552"/>
      <c r="S7" s="552"/>
      <c r="T7" s="552"/>
      <c r="U7" s="552"/>
    </row>
    <row r="8" spans="1:21">
      <c r="A8" s="540" t="s">
        <v>154</v>
      </c>
      <c r="B8" s="540"/>
      <c r="C8" s="540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544" t="s">
        <v>3</v>
      </c>
      <c r="B9" s="544" t="s">
        <v>86</v>
      </c>
      <c r="C9" s="272" t="s">
        <v>87</v>
      </c>
      <c r="D9" s="544" t="s">
        <v>4</v>
      </c>
      <c r="E9" s="545" t="s">
        <v>5</v>
      </c>
      <c r="F9" s="545"/>
      <c r="G9" s="545"/>
      <c r="H9" s="545"/>
      <c r="I9" s="545"/>
      <c r="J9" s="533" t="s">
        <v>6</v>
      </c>
      <c r="K9" s="533"/>
      <c r="L9" s="533"/>
      <c r="M9" s="533"/>
      <c r="N9" s="553" t="s">
        <v>7</v>
      </c>
      <c r="O9" s="553"/>
      <c r="P9" s="553"/>
      <c r="Q9" s="553"/>
      <c r="R9" s="553"/>
      <c r="S9" s="553"/>
      <c r="T9" s="553"/>
      <c r="U9" s="553"/>
    </row>
    <row r="10" spans="1:21" ht="110.4">
      <c r="A10" s="544"/>
      <c r="B10" s="544"/>
      <c r="C10" s="272"/>
      <c r="D10" s="544"/>
      <c r="E10" s="284" t="s">
        <v>380</v>
      </c>
      <c r="F10" s="284" t="s">
        <v>381</v>
      </c>
      <c r="G10" s="284" t="s">
        <v>382</v>
      </c>
      <c r="H10" s="285" t="s">
        <v>325</v>
      </c>
      <c r="I10" s="285" t="s">
        <v>369</v>
      </c>
      <c r="J10" s="286" t="s">
        <v>88</v>
      </c>
      <c r="K10" s="287" t="s">
        <v>89</v>
      </c>
      <c r="L10" s="287" t="s">
        <v>90</v>
      </c>
      <c r="M10" s="442" t="s">
        <v>292</v>
      </c>
      <c r="N10" s="286" t="s">
        <v>395</v>
      </c>
      <c r="O10" s="286" t="s">
        <v>93</v>
      </c>
      <c r="P10" s="286" t="s">
        <v>94</v>
      </c>
      <c r="Q10" s="286" t="s">
        <v>222</v>
      </c>
      <c r="R10" s="442" t="s">
        <v>95</v>
      </c>
      <c r="S10" s="287" t="s">
        <v>223</v>
      </c>
      <c r="T10" s="287" t="s">
        <v>261</v>
      </c>
      <c r="U10" s="287" t="s">
        <v>327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88" t="s">
        <v>16</v>
      </c>
      <c r="F11" s="288" t="s">
        <v>16</v>
      </c>
      <c r="G11" s="288"/>
      <c r="H11" s="289" t="s">
        <v>16</v>
      </c>
      <c r="I11" s="289" t="s">
        <v>16</v>
      </c>
      <c r="J11" s="286" t="s">
        <v>17</v>
      </c>
      <c r="K11" s="287" t="s">
        <v>17</v>
      </c>
      <c r="L11" s="287" t="s">
        <v>17</v>
      </c>
      <c r="M11" s="442" t="s">
        <v>17</v>
      </c>
      <c r="N11" s="286" t="s">
        <v>17</v>
      </c>
      <c r="O11" s="286" t="s">
        <v>17</v>
      </c>
      <c r="P11" s="286" t="s">
        <v>17</v>
      </c>
      <c r="Q11" s="286"/>
      <c r="R11" s="442" t="s">
        <v>17</v>
      </c>
      <c r="S11" s="287"/>
      <c r="T11" s="287" t="s">
        <v>17</v>
      </c>
      <c r="U11" s="287" t="s">
        <v>17</v>
      </c>
    </row>
    <row r="12" spans="1:21" ht="82.95" customHeight="1">
      <c r="A12" s="528" t="s">
        <v>98</v>
      </c>
      <c r="B12" s="530" t="s">
        <v>237</v>
      </c>
      <c r="C12" s="61" t="s">
        <v>100</v>
      </c>
      <c r="D12" s="62" t="s">
        <v>101</v>
      </c>
      <c r="E12" s="123">
        <v>313</v>
      </c>
      <c r="F12" s="123">
        <v>313</v>
      </c>
      <c r="G12" s="213">
        <f>((E12*8)+(F12*4))/12</f>
        <v>313</v>
      </c>
      <c r="H12" s="59">
        <v>313</v>
      </c>
      <c r="I12" s="59">
        <v>313</v>
      </c>
      <c r="J12" s="107">
        <f>SUM(K12:M12)</f>
        <v>44979.02</v>
      </c>
      <c r="K12" s="218">
        <f>23416.19+1351.63</f>
        <v>24767.82</v>
      </c>
      <c r="L12" s="209">
        <f>4001.99</f>
        <v>4001.99</v>
      </c>
      <c r="M12" s="443">
        <f>14314.24+1894.97</f>
        <v>16209.21</v>
      </c>
      <c r="N12" s="71">
        <f>SUM(O12:R12)</f>
        <v>14078429.75</v>
      </c>
      <c r="O12" s="71">
        <f>G12*K12</f>
        <v>7752327.6600000001</v>
      </c>
      <c r="P12" s="71">
        <f>G12*L12</f>
        <v>1252622.8699999999</v>
      </c>
      <c r="Q12" s="71"/>
      <c r="R12" s="75">
        <f>G12*M12-3.51</f>
        <v>5073479.22</v>
      </c>
      <c r="S12" s="46"/>
      <c r="T12" s="46">
        <f>N12</f>
        <v>14078429.75</v>
      </c>
      <c r="U12" s="46">
        <f>T12</f>
        <v>14078429.75</v>
      </c>
    </row>
    <row r="13" spans="1:21" ht="82.8">
      <c r="A13" s="528"/>
      <c r="B13" s="531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29"/>
      <c r="O13" s="71"/>
      <c r="P13" s="72" t="s">
        <v>104</v>
      </c>
      <c r="Q13" s="72"/>
      <c r="R13" s="72" t="s">
        <v>104</v>
      </c>
      <c r="S13" s="184"/>
      <c r="T13" s="204"/>
      <c r="U13" s="204"/>
    </row>
    <row r="14" spans="1:21">
      <c r="A14" s="528"/>
      <c r="B14" s="531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25853.63</v>
      </c>
      <c r="K14" s="46">
        <v>25853.63</v>
      </c>
      <c r="L14" s="184" t="s">
        <v>104</v>
      </c>
      <c r="M14" s="72" t="s">
        <v>104</v>
      </c>
      <c r="N14" s="329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4">
        <f>H14*K14</f>
        <v>0</v>
      </c>
      <c r="U14" s="204">
        <f>I14*K14</f>
        <v>0</v>
      </c>
    </row>
    <row r="15" spans="1:21">
      <c r="A15" s="528"/>
      <c r="B15" s="531"/>
      <c r="C15" s="63" t="s">
        <v>169</v>
      </c>
      <c r="D15" s="64"/>
      <c r="E15" s="123">
        <v>18</v>
      </c>
      <c r="F15" s="123">
        <v>18</v>
      </c>
      <c r="G15" s="123">
        <f t="shared" ref="G15:G32" si="0">((E15*8)+(F15*4))/12</f>
        <v>18</v>
      </c>
      <c r="H15" s="59">
        <v>18</v>
      </c>
      <c r="I15" s="59">
        <v>18</v>
      </c>
      <c r="J15" s="71">
        <f>K15</f>
        <v>69621.41</v>
      </c>
      <c r="K15" s="203">
        <v>69621.41</v>
      </c>
      <c r="L15" s="184" t="s">
        <v>104</v>
      </c>
      <c r="M15" s="72" t="s">
        <v>104</v>
      </c>
      <c r="N15" s="329">
        <f>O15</f>
        <v>1253185.3800000001</v>
      </c>
      <c r="O15" s="71">
        <f t="shared" ref="O15:O21" si="1">G15*K15</f>
        <v>1253185.3800000001</v>
      </c>
      <c r="P15" s="72" t="s">
        <v>104</v>
      </c>
      <c r="Q15" s="72"/>
      <c r="R15" s="72" t="s">
        <v>104</v>
      </c>
      <c r="S15" s="184"/>
      <c r="T15" s="204">
        <f>H15*K15</f>
        <v>1253185.3800000001</v>
      </c>
      <c r="U15" s="204">
        <f>I15*K15</f>
        <v>1253185.3800000001</v>
      </c>
    </row>
    <row r="16" spans="1:21">
      <c r="A16" s="528"/>
      <c r="B16" s="531"/>
      <c r="C16" s="63" t="s">
        <v>165</v>
      </c>
      <c r="D16" s="64"/>
      <c r="E16" s="123">
        <v>2</v>
      </c>
      <c r="F16" s="123">
        <v>2</v>
      </c>
      <c r="G16" s="123">
        <f t="shared" si="0"/>
        <v>2</v>
      </c>
      <c r="H16" s="59">
        <v>2</v>
      </c>
      <c r="I16" s="59">
        <v>2</v>
      </c>
      <c r="J16" s="71">
        <f t="shared" ref="J16:J21" si="2">K16</f>
        <v>92730.02</v>
      </c>
      <c r="K16" s="46">
        <v>92730.02</v>
      </c>
      <c r="L16" s="184" t="s">
        <v>104</v>
      </c>
      <c r="M16" s="72" t="s">
        <v>104</v>
      </c>
      <c r="N16" s="329">
        <f t="shared" ref="N16:N21" si="3">O16</f>
        <v>185460.04</v>
      </c>
      <c r="O16" s="71">
        <f t="shared" si="1"/>
        <v>185460.04</v>
      </c>
      <c r="P16" s="72" t="s">
        <v>104</v>
      </c>
      <c r="Q16" s="72"/>
      <c r="R16" s="72" t="s">
        <v>104</v>
      </c>
      <c r="S16" s="184"/>
      <c r="T16" s="204">
        <f t="shared" ref="T16:T21" si="4">H16*K16</f>
        <v>185460.04</v>
      </c>
      <c r="U16" s="204">
        <f t="shared" ref="U16:U21" si="5">I16*K16</f>
        <v>185460.04</v>
      </c>
    </row>
    <row r="17" spans="1:24">
      <c r="A17" s="528"/>
      <c r="B17" s="531"/>
      <c r="C17" s="63" t="s">
        <v>166</v>
      </c>
      <c r="D17" s="64"/>
      <c r="E17" s="123">
        <v>27</v>
      </c>
      <c r="F17" s="123">
        <v>27</v>
      </c>
      <c r="G17" s="123">
        <f t="shared" si="0"/>
        <v>27</v>
      </c>
      <c r="H17" s="59">
        <v>27</v>
      </c>
      <c r="I17" s="59">
        <v>27</v>
      </c>
      <c r="J17" s="71">
        <f t="shared" si="2"/>
        <v>66620.070000000007</v>
      </c>
      <c r="K17" s="46">
        <v>66620.070000000007</v>
      </c>
      <c r="L17" s="184" t="s">
        <v>104</v>
      </c>
      <c r="M17" s="72" t="s">
        <v>104</v>
      </c>
      <c r="N17" s="329">
        <f t="shared" si="3"/>
        <v>1798741.8900000001</v>
      </c>
      <c r="O17" s="71">
        <f t="shared" si="1"/>
        <v>1798741.8900000001</v>
      </c>
      <c r="P17" s="72" t="s">
        <v>104</v>
      </c>
      <c r="Q17" s="72"/>
      <c r="R17" s="72" t="s">
        <v>104</v>
      </c>
      <c r="S17" s="184"/>
      <c r="T17" s="204">
        <f t="shared" si="4"/>
        <v>1798741.8900000001</v>
      </c>
      <c r="U17" s="204">
        <f t="shared" si="5"/>
        <v>1798741.8900000001</v>
      </c>
    </row>
    <row r="18" spans="1:24">
      <c r="A18" s="528"/>
      <c r="B18" s="531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175131.65</v>
      </c>
      <c r="K18" s="46">
        <v>175131.65</v>
      </c>
      <c r="L18" s="184" t="s">
        <v>104</v>
      </c>
      <c r="M18" s="72" t="s">
        <v>104</v>
      </c>
      <c r="N18" s="329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4">
        <f t="shared" si="4"/>
        <v>0</v>
      </c>
      <c r="U18" s="204">
        <f t="shared" si="5"/>
        <v>0</v>
      </c>
    </row>
    <row r="19" spans="1:24">
      <c r="A19" s="528"/>
      <c r="B19" s="531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179040.83</v>
      </c>
      <c r="K19" s="46">
        <v>179040.83</v>
      </c>
      <c r="L19" s="184"/>
      <c r="M19" s="72"/>
      <c r="N19" s="329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4">
        <f t="shared" si="4"/>
        <v>0</v>
      </c>
      <c r="U19" s="204">
        <f t="shared" si="5"/>
        <v>0</v>
      </c>
    </row>
    <row r="20" spans="1:24">
      <c r="A20" s="528"/>
      <c r="B20" s="531"/>
      <c r="C20" s="63" t="s">
        <v>170</v>
      </c>
      <c r="D20" s="64"/>
      <c r="E20" s="123"/>
      <c r="F20" s="123"/>
      <c r="G20" s="123">
        <f t="shared" si="0"/>
        <v>0</v>
      </c>
      <c r="H20" s="59">
        <v>1</v>
      </c>
      <c r="I20" s="59">
        <v>1</v>
      </c>
      <c r="J20" s="71">
        <f t="shared" si="2"/>
        <v>99909.59</v>
      </c>
      <c r="K20" s="46">
        <v>99909.59</v>
      </c>
      <c r="L20" s="184" t="s">
        <v>104</v>
      </c>
      <c r="M20" s="72" t="s">
        <v>104</v>
      </c>
      <c r="N20" s="329">
        <f t="shared" si="3"/>
        <v>0</v>
      </c>
      <c r="O20" s="71">
        <f t="shared" si="1"/>
        <v>0</v>
      </c>
      <c r="P20" s="72" t="s">
        <v>104</v>
      </c>
      <c r="Q20" s="72"/>
      <c r="R20" s="72" t="s">
        <v>104</v>
      </c>
      <c r="S20" s="184"/>
      <c r="T20" s="204">
        <f t="shared" si="4"/>
        <v>99909.59</v>
      </c>
      <c r="U20" s="204">
        <f t="shared" si="5"/>
        <v>99909.59</v>
      </c>
    </row>
    <row r="21" spans="1:24">
      <c r="A21" s="528"/>
      <c r="B21" s="531"/>
      <c r="C21" s="63" t="s">
        <v>168</v>
      </c>
      <c r="D21" s="64"/>
      <c r="E21" s="123">
        <v>1</v>
      </c>
      <c r="F21" s="123">
        <v>1</v>
      </c>
      <c r="G21" s="123">
        <f t="shared" si="0"/>
        <v>1</v>
      </c>
      <c r="H21" s="59">
        <v>1</v>
      </c>
      <c r="I21" s="59">
        <v>1</v>
      </c>
      <c r="J21" s="71">
        <f t="shared" si="2"/>
        <v>23817.46</v>
      </c>
      <c r="K21" s="46">
        <v>23817.46</v>
      </c>
      <c r="L21" s="184" t="s">
        <v>104</v>
      </c>
      <c r="M21" s="72" t="s">
        <v>104</v>
      </c>
      <c r="N21" s="329">
        <f t="shared" si="3"/>
        <v>23817.46</v>
      </c>
      <c r="O21" s="71">
        <f t="shared" si="1"/>
        <v>23817.46</v>
      </c>
      <c r="P21" s="72" t="s">
        <v>104</v>
      </c>
      <c r="Q21" s="72"/>
      <c r="R21" s="72" t="s">
        <v>104</v>
      </c>
      <c r="S21" s="184"/>
      <c r="T21" s="204">
        <f t="shared" si="4"/>
        <v>23817.46</v>
      </c>
      <c r="U21" s="204">
        <f t="shared" si="5"/>
        <v>23817.46</v>
      </c>
    </row>
    <row r="22" spans="1:24" ht="86.4" customHeight="1">
      <c r="A22" s="528"/>
      <c r="B22" s="531"/>
      <c r="C22" s="61" t="s">
        <v>105</v>
      </c>
      <c r="D22" s="64" t="s">
        <v>101</v>
      </c>
      <c r="E22" s="123">
        <v>1</v>
      </c>
      <c r="F22" s="123">
        <v>1</v>
      </c>
      <c r="G22" s="123">
        <f t="shared" si="0"/>
        <v>1</v>
      </c>
      <c r="H22" s="59">
        <v>1</v>
      </c>
      <c r="I22" s="59">
        <v>1</v>
      </c>
      <c r="J22" s="75">
        <f>SUM(K22:M22)</f>
        <v>143232.30000000002</v>
      </c>
      <c r="K22" s="46">
        <f>121669.47+1351.63</f>
        <v>123021.1</v>
      </c>
      <c r="L22" s="209">
        <f>4001.99</f>
        <v>4001.99</v>
      </c>
      <c r="M22" s="443">
        <f>14314.24+1894.97</f>
        <v>16209.21</v>
      </c>
      <c r="N22" s="71">
        <f>SUM(O22:R22)</f>
        <v>143232.30000000002</v>
      </c>
      <c r="O22" s="71">
        <f>G22*K22</f>
        <v>123021.1</v>
      </c>
      <c r="P22" s="71">
        <f>G22*L22</f>
        <v>4001.99</v>
      </c>
      <c r="Q22" s="71"/>
      <c r="R22" s="75">
        <f>G22*M22</f>
        <v>16209.21</v>
      </c>
      <c r="S22" s="46"/>
      <c r="T22" s="204">
        <f>H22*J22</f>
        <v>143232.30000000002</v>
      </c>
      <c r="U22" s="204">
        <f>T22</f>
        <v>143232.30000000002</v>
      </c>
    </row>
    <row r="23" spans="1:24">
      <c r="A23" s="528"/>
      <c r="B23" s="532"/>
      <c r="C23" s="290" t="s">
        <v>106</v>
      </c>
      <c r="D23" s="67"/>
      <c r="E23" s="123">
        <f>E12+E22</f>
        <v>314</v>
      </c>
      <c r="F23" s="123">
        <f>F12+F22</f>
        <v>314</v>
      </c>
      <c r="G23" s="439">
        <f>G12+G22</f>
        <v>314</v>
      </c>
      <c r="H23" s="59">
        <f>H12+H22</f>
        <v>314</v>
      </c>
      <c r="I23" s="59">
        <f>I12+I22</f>
        <v>314</v>
      </c>
      <c r="J23" s="71" t="s">
        <v>104</v>
      </c>
      <c r="K23" s="203" t="s">
        <v>104</v>
      </c>
      <c r="L23" s="203" t="s">
        <v>104</v>
      </c>
      <c r="M23" s="283" t="s">
        <v>104</v>
      </c>
      <c r="N23" s="118">
        <f>SUM(N12:N22)</f>
        <v>17482866.82</v>
      </c>
      <c r="O23" s="118">
        <f>SUM(O12:O22)</f>
        <v>11136553.530000001</v>
      </c>
      <c r="P23" s="118">
        <f>SUM(P12:P22)</f>
        <v>1256624.8599999999</v>
      </c>
      <c r="Q23" s="118"/>
      <c r="R23" s="445">
        <f>SUM(R12:R22)</f>
        <v>5089688.43</v>
      </c>
      <c r="S23" s="203"/>
      <c r="T23" s="46">
        <f>SUM(T12:T22)</f>
        <v>17582776.41</v>
      </c>
      <c r="U23" s="46">
        <f>SUM(U12:U22)</f>
        <v>17582776.41</v>
      </c>
      <c r="W23" s="192">
        <f>R23+R31+R37+R43</f>
        <v>11282095.609999999</v>
      </c>
    </row>
    <row r="24" spans="1:24" ht="82.95" customHeight="1">
      <c r="A24" s="528"/>
      <c r="B24" s="529" t="s">
        <v>238</v>
      </c>
      <c r="C24" s="61" t="s">
        <v>100</v>
      </c>
      <c r="D24" s="62" t="s">
        <v>101</v>
      </c>
      <c r="E24" s="123">
        <v>310</v>
      </c>
      <c r="F24" s="123">
        <v>310</v>
      </c>
      <c r="G24" s="123">
        <f t="shared" si="0"/>
        <v>310</v>
      </c>
      <c r="H24" s="59">
        <v>310</v>
      </c>
      <c r="I24" s="59">
        <v>310</v>
      </c>
      <c r="J24" s="107">
        <f>SUM(K24:M24)</f>
        <v>56551.729999999996</v>
      </c>
      <c r="K24" s="218">
        <f>34640.79+1649.65</f>
        <v>36290.44</v>
      </c>
      <c r="L24" s="209">
        <f>4001.99</f>
        <v>4001.99</v>
      </c>
      <c r="M24" s="443">
        <f>14567.32+1691.98</f>
        <v>16259.3</v>
      </c>
      <c r="N24" s="71">
        <f>SUM(O24:R24)</f>
        <v>17531036.300000001</v>
      </c>
      <c r="O24" s="71">
        <f>G24*K24</f>
        <v>11250036.4</v>
      </c>
      <c r="P24" s="73">
        <f>G24*L24</f>
        <v>1240616.8999999999</v>
      </c>
      <c r="Q24" s="73"/>
      <c r="R24" s="75">
        <f>G24*M24</f>
        <v>5040383</v>
      </c>
      <c r="S24" s="46"/>
      <c r="T24" s="46">
        <f>H24*J24</f>
        <v>17531036.299999997</v>
      </c>
      <c r="U24" s="46">
        <f>T24</f>
        <v>17531036.299999997</v>
      </c>
      <c r="X24" s="192"/>
    </row>
    <row r="25" spans="1:24" ht="111.75" customHeight="1">
      <c r="A25" s="528"/>
      <c r="B25" s="529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121" t="s">
        <v>104</v>
      </c>
      <c r="N25" s="71"/>
      <c r="O25" s="71"/>
      <c r="P25" s="59" t="s">
        <v>104</v>
      </c>
      <c r="Q25" s="59"/>
      <c r="R25" s="121" t="s">
        <v>104</v>
      </c>
      <c r="S25" s="123"/>
      <c r="T25" s="46"/>
      <c r="U25" s="46"/>
    </row>
    <row r="26" spans="1:24" ht="20.25" customHeight="1">
      <c r="A26" s="528"/>
      <c r="B26" s="529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92730.02</v>
      </c>
      <c r="K26" s="46">
        <v>92730.02</v>
      </c>
      <c r="L26" s="123" t="s">
        <v>104</v>
      </c>
      <c r="M26" s="121" t="s">
        <v>104</v>
      </c>
      <c r="N26" s="71">
        <f>O26</f>
        <v>370920.08</v>
      </c>
      <c r="O26" s="71">
        <f>G26*K26</f>
        <v>370920.08</v>
      </c>
      <c r="P26" s="59" t="s">
        <v>104</v>
      </c>
      <c r="Q26" s="59"/>
      <c r="R26" s="121" t="s">
        <v>104</v>
      </c>
      <c r="S26" s="123"/>
      <c r="T26" s="46">
        <f>H26*K26</f>
        <v>370920.08</v>
      </c>
      <c r="U26" s="46">
        <f>I26*K26</f>
        <v>370920.08</v>
      </c>
    </row>
    <row r="27" spans="1:24" ht="21" customHeight="1">
      <c r="A27" s="528"/>
      <c r="B27" s="529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264942.27</v>
      </c>
      <c r="K27" s="46">
        <v>264942.27</v>
      </c>
      <c r="L27" s="123" t="s">
        <v>104</v>
      </c>
      <c r="M27" s="121" t="s">
        <v>104</v>
      </c>
      <c r="N27" s="71">
        <f>O27</f>
        <v>529884.54</v>
      </c>
      <c r="O27" s="71">
        <f t="shared" ref="O27:O29" si="6">G27*K27</f>
        <v>529884.54</v>
      </c>
      <c r="P27" s="59" t="s">
        <v>104</v>
      </c>
      <c r="Q27" s="59"/>
      <c r="R27" s="121" t="s">
        <v>104</v>
      </c>
      <c r="S27" s="123"/>
      <c r="T27" s="46">
        <f>H27*K27</f>
        <v>529884.54</v>
      </c>
      <c r="U27" s="46">
        <f>I27*K27</f>
        <v>529884.54</v>
      </c>
    </row>
    <row r="28" spans="1:24" ht="21" customHeight="1">
      <c r="A28" s="528"/>
      <c r="B28" s="529"/>
      <c r="C28" s="63" t="s">
        <v>170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33033.199999999997</v>
      </c>
      <c r="K28" s="46">
        <v>33033.199999999997</v>
      </c>
      <c r="L28" s="123" t="s">
        <v>104</v>
      </c>
      <c r="M28" s="121" t="s">
        <v>104</v>
      </c>
      <c r="N28" s="71">
        <f>O28</f>
        <v>33033.199999999997</v>
      </c>
      <c r="O28" s="71">
        <f t="shared" si="6"/>
        <v>33033.199999999997</v>
      </c>
      <c r="P28" s="59" t="s">
        <v>104</v>
      </c>
      <c r="Q28" s="59"/>
      <c r="R28" s="121" t="s">
        <v>104</v>
      </c>
      <c r="S28" s="123"/>
      <c r="T28" s="46">
        <f>H28*K28</f>
        <v>33033.199999999997</v>
      </c>
      <c r="U28" s="46">
        <f>I28*K28</f>
        <v>33033.199999999997</v>
      </c>
    </row>
    <row r="29" spans="1:24" ht="21" customHeight="1">
      <c r="A29" s="528"/>
      <c r="B29" s="529"/>
      <c r="C29" s="63" t="s">
        <v>168</v>
      </c>
      <c r="D29" s="64" t="s">
        <v>101</v>
      </c>
      <c r="E29" s="122"/>
      <c r="F29" s="122"/>
      <c r="G29" s="123">
        <f t="shared" si="0"/>
        <v>0</v>
      </c>
      <c r="H29" s="60"/>
      <c r="I29" s="60"/>
      <c r="J29" s="71">
        <f>K29</f>
        <v>23817.46</v>
      </c>
      <c r="K29" s="46">
        <v>23817.46</v>
      </c>
      <c r="L29" s="123" t="s">
        <v>104</v>
      </c>
      <c r="M29" s="121" t="s">
        <v>104</v>
      </c>
      <c r="N29" s="71">
        <f>O29</f>
        <v>0</v>
      </c>
      <c r="O29" s="71">
        <f t="shared" si="6"/>
        <v>0</v>
      </c>
      <c r="P29" s="59" t="s">
        <v>104</v>
      </c>
      <c r="Q29" s="59"/>
      <c r="R29" s="121" t="s">
        <v>104</v>
      </c>
      <c r="S29" s="123"/>
      <c r="T29" s="46">
        <f>H29*K29</f>
        <v>0</v>
      </c>
      <c r="U29" s="46">
        <f>I29*K29</f>
        <v>0</v>
      </c>
    </row>
    <row r="30" spans="1:24" ht="87" customHeight="1">
      <c r="A30" s="528"/>
      <c r="B30" s="529"/>
      <c r="C30" s="61" t="s">
        <v>105</v>
      </c>
      <c r="D30" s="64" t="s">
        <v>101</v>
      </c>
      <c r="E30" s="122">
        <v>3</v>
      </c>
      <c r="F30" s="122">
        <v>3</v>
      </c>
      <c r="G30" s="123">
        <f t="shared" si="0"/>
        <v>3</v>
      </c>
      <c r="H30" s="60">
        <v>3</v>
      </c>
      <c r="I30" s="60">
        <v>3</v>
      </c>
      <c r="J30" s="71">
        <f>K30</f>
        <v>153302.68</v>
      </c>
      <c r="K30" s="205">
        <f>151653.03+1649.65</f>
        <v>153302.68</v>
      </c>
      <c r="L30" s="209">
        <f>4001.99</f>
        <v>4001.99</v>
      </c>
      <c r="M30" s="443">
        <f>14567.32+1691.98</f>
        <v>16259.3</v>
      </c>
      <c r="N30" s="71">
        <f>SUM(O30:R30)</f>
        <v>520691.90999999992</v>
      </c>
      <c r="O30" s="71">
        <f>G30*K30</f>
        <v>459908.04</v>
      </c>
      <c r="P30" s="73">
        <f>G30*L30</f>
        <v>12005.97</v>
      </c>
      <c r="Q30" s="73"/>
      <c r="R30" s="75">
        <f>G30*M30</f>
        <v>48777.899999999994</v>
      </c>
      <c r="S30" s="46"/>
      <c r="T30" s="46">
        <f>N30</f>
        <v>520691.90999999992</v>
      </c>
      <c r="U30" s="46">
        <f>T30</f>
        <v>520691.90999999992</v>
      </c>
    </row>
    <row r="31" spans="1:24">
      <c r="A31" s="528"/>
      <c r="B31" s="271"/>
      <c r="C31" s="290" t="s">
        <v>106</v>
      </c>
      <c r="D31" s="64"/>
      <c r="E31" s="122">
        <f>E24+E30</f>
        <v>313</v>
      </c>
      <c r="F31" s="122">
        <f>F24+F30</f>
        <v>313</v>
      </c>
      <c r="G31" s="212">
        <f>G24+G30</f>
        <v>313</v>
      </c>
      <c r="H31" s="60">
        <f>H24+H30</f>
        <v>313</v>
      </c>
      <c r="I31" s="60">
        <f>I24+I30</f>
        <v>313</v>
      </c>
      <c r="J31" s="59" t="s">
        <v>104</v>
      </c>
      <c r="K31" s="123" t="s">
        <v>104</v>
      </c>
      <c r="L31" s="123" t="s">
        <v>104</v>
      </c>
      <c r="M31" s="121" t="s">
        <v>104</v>
      </c>
      <c r="N31" s="103">
        <f>SUM(N24:N30)</f>
        <v>18985566.029999997</v>
      </c>
      <c r="O31" s="103">
        <f t="shared" ref="O31:U31" si="7">SUM(O24:O30)</f>
        <v>12643782.259999998</v>
      </c>
      <c r="P31" s="103">
        <f t="shared" si="7"/>
        <v>1252622.8699999999</v>
      </c>
      <c r="Q31" s="103"/>
      <c r="R31" s="136">
        <f t="shared" si="7"/>
        <v>5089160.9000000004</v>
      </c>
      <c r="S31" s="185"/>
      <c r="T31" s="185">
        <f t="shared" si="7"/>
        <v>18985566.029999994</v>
      </c>
      <c r="U31" s="185">
        <f t="shared" si="7"/>
        <v>18985566.029999994</v>
      </c>
    </row>
    <row r="32" spans="1:24" ht="82.95" customHeight="1">
      <c r="A32" s="528"/>
      <c r="B32" s="530" t="s">
        <v>239</v>
      </c>
      <c r="C32" s="61" t="s">
        <v>100</v>
      </c>
      <c r="D32" s="62" t="s">
        <v>101</v>
      </c>
      <c r="E32" s="122">
        <v>25</v>
      </c>
      <c r="F32" s="122">
        <v>25</v>
      </c>
      <c r="G32" s="123">
        <f t="shared" si="0"/>
        <v>25</v>
      </c>
      <c r="H32" s="60">
        <v>25</v>
      </c>
      <c r="I32" s="60">
        <v>25</v>
      </c>
      <c r="J32" s="107">
        <f>SUM(K32:M32)</f>
        <v>63623.439999999995</v>
      </c>
      <c r="K32" s="218">
        <f>41398.46+1998.78</f>
        <v>43397.24</v>
      </c>
      <c r="L32" s="209">
        <f>4001.99</f>
        <v>4001.99</v>
      </c>
      <c r="M32" s="443">
        <f>14934.34+1289.87</f>
        <v>16224.21</v>
      </c>
      <c r="N32" s="73">
        <f>SUM(O32:R32)</f>
        <v>1590586</v>
      </c>
      <c r="O32" s="73">
        <f>G32*K32</f>
        <v>1084931</v>
      </c>
      <c r="P32" s="73">
        <f>G32*L32</f>
        <v>100049.75</v>
      </c>
      <c r="Q32" s="73"/>
      <c r="R32" s="75">
        <f>G32*M32</f>
        <v>405605.25</v>
      </c>
      <c r="S32" s="46"/>
      <c r="T32" s="46">
        <f>N32</f>
        <v>1590586</v>
      </c>
      <c r="U32" s="46">
        <f>T32</f>
        <v>1590586</v>
      </c>
    </row>
    <row r="33" spans="1:27" ht="82.8">
      <c r="A33" s="528"/>
      <c r="B33" s="531"/>
      <c r="C33" s="63" t="s">
        <v>102</v>
      </c>
      <c r="D33" s="64" t="s">
        <v>101</v>
      </c>
      <c r="E33" s="123" t="s">
        <v>104</v>
      </c>
      <c r="F33" s="123" t="s">
        <v>104</v>
      </c>
      <c r="G33" s="123" t="s">
        <v>104</v>
      </c>
      <c r="H33" s="59" t="s">
        <v>104</v>
      </c>
      <c r="I33" s="59" t="s">
        <v>104</v>
      </c>
      <c r="J33" s="59" t="s">
        <v>104</v>
      </c>
      <c r="K33" s="123" t="s">
        <v>104</v>
      </c>
      <c r="L33" s="123" t="s">
        <v>104</v>
      </c>
      <c r="M33" s="121" t="s">
        <v>104</v>
      </c>
      <c r="N33" s="71"/>
      <c r="O33" s="71"/>
      <c r="P33" s="59" t="s">
        <v>104</v>
      </c>
      <c r="Q33" s="59"/>
      <c r="R33" s="121" t="s">
        <v>104</v>
      </c>
      <c r="S33" s="123"/>
      <c r="T33" s="46"/>
      <c r="U33" s="46"/>
    </row>
    <row r="34" spans="1:27">
      <c r="A34" s="528"/>
      <c r="B34" s="531"/>
      <c r="C34" s="63" t="s">
        <v>165</v>
      </c>
      <c r="D34" s="64" t="s">
        <v>101</v>
      </c>
      <c r="E34" s="123"/>
      <c r="F34" s="123"/>
      <c r="G34" s="123">
        <f>((E34*8)+(F34*4))/12</f>
        <v>0</v>
      </c>
      <c r="H34" s="59"/>
      <c r="I34" s="59"/>
      <c r="J34" s="71">
        <f>K34</f>
        <v>92730.02</v>
      </c>
      <c r="K34" s="46">
        <v>92730.02</v>
      </c>
      <c r="L34" s="123" t="s">
        <v>104</v>
      </c>
      <c r="M34" s="121" t="s">
        <v>104</v>
      </c>
      <c r="N34" s="71">
        <f>O34</f>
        <v>0</v>
      </c>
      <c r="O34" s="71">
        <f>G34*K34</f>
        <v>0</v>
      </c>
      <c r="P34" s="59" t="s">
        <v>104</v>
      </c>
      <c r="Q34" s="59"/>
      <c r="R34" s="121" t="s">
        <v>104</v>
      </c>
      <c r="S34" s="123"/>
      <c r="T34" s="46">
        <f>H34*K34</f>
        <v>0</v>
      </c>
      <c r="U34" s="46">
        <f>I34*K34</f>
        <v>0</v>
      </c>
      <c r="W34" s="182">
        <v>44402583.039999999</v>
      </c>
    </row>
    <row r="35" spans="1:27" ht="82.8">
      <c r="A35" s="528"/>
      <c r="B35" s="531"/>
      <c r="C35" s="61" t="s">
        <v>105</v>
      </c>
      <c r="D35" s="64" t="s">
        <v>101</v>
      </c>
      <c r="E35" s="122"/>
      <c r="F35" s="122"/>
      <c r="G35" s="122"/>
      <c r="H35" s="60"/>
      <c r="I35" s="60"/>
      <c r="J35" s="73"/>
      <c r="K35" s="205"/>
      <c r="L35" s="185"/>
      <c r="M35" s="75"/>
      <c r="N35" s="73"/>
      <c r="O35" s="73"/>
      <c r="P35" s="73"/>
      <c r="Q35" s="73"/>
      <c r="R35" s="75"/>
      <c r="S35" s="205"/>
      <c r="T35" s="46">
        <f>H35*J35</f>
        <v>0</v>
      </c>
      <c r="U35" s="46">
        <f>I35*J35</f>
        <v>0</v>
      </c>
      <c r="W35" s="192">
        <f>T47-W34</f>
        <v>3815141.7399999946</v>
      </c>
    </row>
    <row r="36" spans="1:27" ht="92.4" customHeight="1">
      <c r="A36" s="528"/>
      <c r="B36" s="532"/>
      <c r="C36" s="61" t="s">
        <v>252</v>
      </c>
      <c r="D36" s="64" t="s">
        <v>101</v>
      </c>
      <c r="E36" s="122">
        <v>43</v>
      </c>
      <c r="F36" s="122">
        <v>43</v>
      </c>
      <c r="G36" s="123">
        <f>((E36*8)+(F36*4))/12</f>
        <v>43</v>
      </c>
      <c r="H36" s="60">
        <v>43</v>
      </c>
      <c r="I36" s="60">
        <v>43</v>
      </c>
      <c r="J36" s="73">
        <f>K36+L36</f>
        <v>38455.479999999996</v>
      </c>
      <c r="K36" s="205">
        <f>32454.71+1998.78</f>
        <v>34453.49</v>
      </c>
      <c r="L36" s="209">
        <f>4001.99</f>
        <v>4001.99</v>
      </c>
      <c r="M36" s="443">
        <f>14934.34+1289.87</f>
        <v>16224.21</v>
      </c>
      <c r="N36" s="73">
        <f>SUM(O36:R36)</f>
        <v>2351226.67</v>
      </c>
      <c r="O36" s="73">
        <f>G36*K36</f>
        <v>1481500.0699999998</v>
      </c>
      <c r="P36" s="73">
        <f>G36*L36</f>
        <v>172085.56999999998</v>
      </c>
      <c r="Q36" s="59" t="s">
        <v>104</v>
      </c>
      <c r="R36" s="283">
        <f>M36*G36</f>
        <v>697641.02999999991</v>
      </c>
      <c r="S36" s="123" t="s">
        <v>104</v>
      </c>
      <c r="T36" s="46">
        <f>N36</f>
        <v>2351226.67</v>
      </c>
      <c r="U36" s="46">
        <f>T36</f>
        <v>2351226.67</v>
      </c>
    </row>
    <row r="37" spans="1:27">
      <c r="A37" s="528"/>
      <c r="B37" s="271"/>
      <c r="C37" s="290" t="s">
        <v>106</v>
      </c>
      <c r="D37" s="64"/>
      <c r="E37" s="122">
        <f>E32+E36</f>
        <v>68</v>
      </c>
      <c r="F37" s="122">
        <f>F32+F36</f>
        <v>68</v>
      </c>
      <c r="G37" s="212">
        <f>G32+G36</f>
        <v>68</v>
      </c>
      <c r="H37" s="60">
        <f>H32+H36</f>
        <v>68</v>
      </c>
      <c r="I37" s="60">
        <f>I32+I36</f>
        <v>68</v>
      </c>
      <c r="J37" s="73" t="s">
        <v>104</v>
      </c>
      <c r="K37" s="205" t="s">
        <v>104</v>
      </c>
      <c r="L37" s="205" t="s">
        <v>104</v>
      </c>
      <c r="M37" s="75" t="s">
        <v>104</v>
      </c>
      <c r="N37" s="103">
        <f>SUM(N32:N36)</f>
        <v>3941812.67</v>
      </c>
      <c r="O37" s="103">
        <f>SUM(O32:O36)</f>
        <v>2566431.0699999998</v>
      </c>
      <c r="P37" s="103">
        <f>SUM(P32:P36)</f>
        <v>272135.31999999995</v>
      </c>
      <c r="Q37" s="103"/>
      <c r="R37" s="136">
        <f>SUM(R32:R36)</f>
        <v>1103246.2799999998</v>
      </c>
      <c r="S37" s="185"/>
      <c r="T37" s="185">
        <f>SUM(T32:T36)</f>
        <v>3941812.67</v>
      </c>
      <c r="U37" s="185">
        <f>SUM(U32:U36)</f>
        <v>3941812.67</v>
      </c>
    </row>
    <row r="38" spans="1:27" ht="100.95" customHeight="1">
      <c r="A38" s="528"/>
      <c r="B38" s="137" t="s">
        <v>240</v>
      </c>
      <c r="C38" s="61" t="s">
        <v>187</v>
      </c>
      <c r="D38" s="64" t="s">
        <v>101</v>
      </c>
      <c r="E38" s="122">
        <v>1142</v>
      </c>
      <c r="F38" s="122">
        <v>1142</v>
      </c>
      <c r="G38" s="123">
        <f>((E38*8)+(F38*4))/12</f>
        <v>1142</v>
      </c>
      <c r="H38" s="60">
        <v>1142</v>
      </c>
      <c r="I38" s="60">
        <v>1142</v>
      </c>
      <c r="J38" s="75">
        <f>K38</f>
        <v>3978.73</v>
      </c>
      <c r="K38" s="46">
        <v>3978.73</v>
      </c>
      <c r="L38" s="205" t="s">
        <v>104</v>
      </c>
      <c r="M38" s="75" t="s">
        <v>104</v>
      </c>
      <c r="N38" s="73">
        <f>SUM(O38:R38)</f>
        <v>4543709.66</v>
      </c>
      <c r="O38" s="73">
        <f>J38*G38</f>
        <v>4543709.66</v>
      </c>
      <c r="P38" s="73" t="s">
        <v>104</v>
      </c>
      <c r="Q38" s="73"/>
      <c r="R38" s="75" t="s">
        <v>104</v>
      </c>
      <c r="S38" s="205"/>
      <c r="T38" s="46">
        <f>H38*J38</f>
        <v>4543709.66</v>
      </c>
      <c r="U38" s="46">
        <f>T38</f>
        <v>4543709.66</v>
      </c>
    </row>
    <row r="39" spans="1:27">
      <c r="A39" s="528"/>
      <c r="B39" s="69"/>
      <c r="C39" s="290" t="s">
        <v>106</v>
      </c>
      <c r="D39" s="69"/>
      <c r="E39" s="122">
        <f>SUM(E38:E38)</f>
        <v>1142</v>
      </c>
      <c r="F39" s="122">
        <f>SUM(F38:F38)</f>
        <v>1142</v>
      </c>
      <c r="G39" s="123">
        <f>G38</f>
        <v>1142</v>
      </c>
      <c r="H39" s="60">
        <f>SUM(H38:H38)</f>
        <v>1142</v>
      </c>
      <c r="I39" s="60">
        <f>SUM(I38:I38)</f>
        <v>1142</v>
      </c>
      <c r="J39" s="73" t="s">
        <v>104</v>
      </c>
      <c r="K39" s="205" t="s">
        <v>104</v>
      </c>
      <c r="L39" s="205" t="s">
        <v>104</v>
      </c>
      <c r="M39" s="444">
        <f t="shared" ref="M39:U39" si="8">SUM(M38:M38)</f>
        <v>0</v>
      </c>
      <c r="N39" s="103">
        <f t="shared" si="8"/>
        <v>4543709.66</v>
      </c>
      <c r="O39" s="74">
        <f t="shared" si="8"/>
        <v>4543709.66</v>
      </c>
      <c r="P39" s="74">
        <f t="shared" si="8"/>
        <v>0</v>
      </c>
      <c r="Q39" s="74"/>
      <c r="R39" s="444">
        <f t="shared" si="8"/>
        <v>0</v>
      </c>
      <c r="S39" s="185"/>
      <c r="T39" s="185">
        <f t="shared" si="8"/>
        <v>4543709.66</v>
      </c>
      <c r="U39" s="185">
        <f t="shared" si="8"/>
        <v>4543709.66</v>
      </c>
    </row>
    <row r="40" spans="1:27" ht="27" hidden="1" customHeight="1">
      <c r="A40" s="528"/>
      <c r="B40" s="193" t="s">
        <v>282</v>
      </c>
      <c r="C40" s="181" t="s">
        <v>226</v>
      </c>
      <c r="D40" s="69"/>
      <c r="E40" s="122"/>
      <c r="F40" s="122"/>
      <c r="G40" s="123"/>
      <c r="H40" s="60"/>
      <c r="I40" s="60"/>
      <c r="J40" s="73"/>
      <c r="K40" s="205"/>
      <c r="L40" s="205"/>
      <c r="M40" s="444"/>
      <c r="N40" s="74">
        <f>P40</f>
        <v>0</v>
      </c>
      <c r="O40" s="74"/>
      <c r="P40" s="74"/>
      <c r="Q40" s="74"/>
      <c r="R40" s="444"/>
      <c r="S40" s="185"/>
      <c r="T40" s="185">
        <f>P40</f>
        <v>0</v>
      </c>
      <c r="U40" s="185">
        <f>T40</f>
        <v>0</v>
      </c>
    </row>
    <row r="41" spans="1:27" ht="13.95" hidden="1" customHeight="1">
      <c r="A41" s="528"/>
      <c r="B41" s="89" t="s">
        <v>225</v>
      </c>
      <c r="C41" s="181" t="s">
        <v>219</v>
      </c>
      <c r="D41" s="64" t="s">
        <v>101</v>
      </c>
      <c r="E41" s="122">
        <v>17</v>
      </c>
      <c r="F41" s="122">
        <v>17</v>
      </c>
      <c r="G41" s="123">
        <v>17</v>
      </c>
      <c r="H41" s="60">
        <v>17</v>
      </c>
      <c r="I41" s="60">
        <v>17</v>
      </c>
      <c r="J41" s="73"/>
      <c r="K41" s="205"/>
      <c r="L41" s="205"/>
      <c r="M41" s="444"/>
      <c r="N41" s="74">
        <f>S41</f>
        <v>0</v>
      </c>
      <c r="O41" s="74"/>
      <c r="P41" s="74"/>
      <c r="Q41" s="74"/>
      <c r="R41" s="444"/>
      <c r="S41" s="185"/>
      <c r="T41" s="185">
        <f>S41</f>
        <v>0</v>
      </c>
      <c r="U41" s="185">
        <f>T41</f>
        <v>0</v>
      </c>
    </row>
    <row r="42" spans="1:27" ht="13.95" hidden="1" customHeight="1">
      <c r="A42" s="528"/>
      <c r="B42" s="89" t="s">
        <v>225</v>
      </c>
      <c r="C42" s="181" t="s">
        <v>226</v>
      </c>
      <c r="D42" s="64" t="s">
        <v>101</v>
      </c>
      <c r="E42" s="122"/>
      <c r="F42" s="122"/>
      <c r="G42" s="123"/>
      <c r="H42" s="60"/>
      <c r="I42" s="60"/>
      <c r="J42" s="73"/>
      <c r="K42" s="205"/>
      <c r="L42" s="205"/>
      <c r="M42" s="444"/>
      <c r="N42" s="74"/>
      <c r="O42" s="74"/>
      <c r="P42" s="74"/>
      <c r="Q42" s="74"/>
      <c r="R42" s="444"/>
      <c r="S42" s="185"/>
      <c r="T42" s="185">
        <f>Q42</f>
        <v>0</v>
      </c>
      <c r="U42" s="185">
        <f>T42</f>
        <v>0</v>
      </c>
    </row>
    <row r="43" spans="1:27" ht="13.95" hidden="1" customHeight="1">
      <c r="A43" s="528"/>
      <c r="B43" s="89" t="s">
        <v>281</v>
      </c>
      <c r="C43" s="181" t="s">
        <v>219</v>
      </c>
      <c r="D43" s="64" t="s">
        <v>101</v>
      </c>
      <c r="E43" s="122"/>
      <c r="F43" s="122"/>
      <c r="G43" s="123">
        <v>17</v>
      </c>
      <c r="H43" s="59">
        <v>17</v>
      </c>
      <c r="I43" s="59">
        <v>17</v>
      </c>
      <c r="J43" s="73"/>
      <c r="K43" s="205"/>
      <c r="L43" s="205"/>
      <c r="M43" s="444"/>
      <c r="N43" s="74">
        <f>S43</f>
        <v>0</v>
      </c>
      <c r="O43" s="74"/>
      <c r="P43" s="74"/>
      <c r="Q43" s="74"/>
      <c r="R43" s="444"/>
      <c r="S43" s="185"/>
      <c r="T43" s="185"/>
      <c r="U43" s="185"/>
    </row>
    <row r="44" spans="1:27">
      <c r="A44" s="528"/>
      <c r="B44" s="89" t="s">
        <v>288</v>
      </c>
      <c r="C44" s="181" t="s">
        <v>226</v>
      </c>
      <c r="D44" s="64"/>
      <c r="E44" s="122">
        <v>27</v>
      </c>
      <c r="F44" s="122">
        <v>27</v>
      </c>
      <c r="G44" s="123">
        <v>27</v>
      </c>
      <c r="H44" s="59">
        <v>27</v>
      </c>
      <c r="I44" s="59">
        <v>27</v>
      </c>
      <c r="J44" s="73"/>
      <c r="K44" s="205"/>
      <c r="L44" s="205"/>
      <c r="M44" s="444"/>
      <c r="N44" s="74">
        <f>O44</f>
        <v>3163860</v>
      </c>
      <c r="O44" s="74">
        <v>3163860</v>
      </c>
      <c r="P44" s="74"/>
      <c r="Q44" s="74"/>
      <c r="R44" s="444"/>
      <c r="S44" s="185"/>
      <c r="T44" s="185">
        <v>3163860</v>
      </c>
      <c r="U44" s="185">
        <f>T44</f>
        <v>3163860</v>
      </c>
    </row>
    <row r="45" spans="1:27" ht="13.95" hidden="1" customHeight="1">
      <c r="A45" s="528"/>
      <c r="B45" s="89" t="s">
        <v>257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5"/>
      <c r="L45" s="205"/>
      <c r="M45" s="444"/>
      <c r="N45" s="74">
        <f>O45</f>
        <v>0</v>
      </c>
      <c r="O45" s="74"/>
      <c r="P45" s="74"/>
      <c r="Q45" s="74"/>
      <c r="R45" s="444"/>
      <c r="S45" s="185"/>
      <c r="T45" s="185">
        <f>O45</f>
        <v>0</v>
      </c>
      <c r="U45" s="185">
        <f>T45</f>
        <v>0</v>
      </c>
    </row>
    <row r="46" spans="1:27" ht="13.95" hidden="1" customHeight="1">
      <c r="A46" s="528"/>
      <c r="B46" s="89" t="s">
        <v>289</v>
      </c>
      <c r="C46" s="181" t="s">
        <v>226</v>
      </c>
      <c r="D46" s="64"/>
      <c r="E46" s="122"/>
      <c r="F46" s="122"/>
      <c r="G46" s="123"/>
      <c r="H46" s="60"/>
      <c r="I46" s="60"/>
      <c r="J46" s="73"/>
      <c r="K46" s="205"/>
      <c r="L46" s="205"/>
      <c r="M46" s="444"/>
      <c r="N46" s="74">
        <f>P46</f>
        <v>0</v>
      </c>
      <c r="O46" s="74"/>
      <c r="P46" s="74"/>
      <c r="Q46" s="74"/>
      <c r="R46" s="444"/>
      <c r="S46" s="185"/>
      <c r="T46" s="185"/>
      <c r="U46" s="185">
        <f>T46</f>
        <v>0</v>
      </c>
    </row>
    <row r="47" spans="1:27">
      <c r="A47" s="528"/>
      <c r="B47" s="101" t="s">
        <v>112</v>
      </c>
      <c r="C47" s="101"/>
      <c r="D47" s="69"/>
      <c r="E47" s="212">
        <f>E23+E31+E37</f>
        <v>695</v>
      </c>
      <c r="F47" s="217">
        <f>F23+F31+F37</f>
        <v>695</v>
      </c>
      <c r="G47" s="212">
        <f>G23+G31+G37</f>
        <v>695</v>
      </c>
      <c r="H47" s="102">
        <f>H23+H31+H37</f>
        <v>695</v>
      </c>
      <c r="I47" s="102">
        <f>I23+I31+I37</f>
        <v>695</v>
      </c>
      <c r="J47" s="104"/>
      <c r="K47" s="219"/>
      <c r="L47" s="138"/>
      <c r="M47" s="136"/>
      <c r="N47" s="103">
        <f>SUM(O47:S47)+0.01</f>
        <v>48117815.18999999</v>
      </c>
      <c r="O47" s="103">
        <f>O23+O31+O37+O39+O44+O45</f>
        <v>34054336.519999996</v>
      </c>
      <c r="P47" s="103">
        <f>P23+P31+P37+P39+P40+P41+P42+P46</f>
        <v>2781383.0499999993</v>
      </c>
      <c r="Q47" s="103">
        <f>Q23+Q31+Q37+Q39+Q40+Q41+Q42</f>
        <v>0</v>
      </c>
      <c r="R47" s="136">
        <f>R23+R31+R37+R39+R40+R41+R42+R43</f>
        <v>11282095.609999999</v>
      </c>
      <c r="S47" s="138">
        <f>S23+S31+S37+S39+S40+S41+S42+S43</f>
        <v>0</v>
      </c>
      <c r="T47" s="138">
        <f>T23+T31+T37+T39+T40+T41+T42+T43+T44+T45+T46+0.01</f>
        <v>48217724.779999994</v>
      </c>
      <c r="U47" s="138">
        <f>U23+U31+U37+U39+U40+U41+U42+U43+U44+U45+U46+0.01</f>
        <v>48217724.779999994</v>
      </c>
      <c r="V47" s="182">
        <v>10041727.25</v>
      </c>
      <c r="W47" s="192">
        <f>V47-R47</f>
        <v>-1240368.3599999994</v>
      </c>
      <c r="X47" s="182">
        <f>W47/G47</f>
        <v>-1784.7026762589919</v>
      </c>
      <c r="AA47" s="192"/>
    </row>
    <row r="48" spans="1:27" ht="82.95" customHeight="1">
      <c r="A48" s="554" t="s">
        <v>113</v>
      </c>
      <c r="B48" s="529" t="s">
        <v>237</v>
      </c>
      <c r="C48" s="61" t="s">
        <v>100</v>
      </c>
      <c r="D48" s="62" t="s">
        <v>101</v>
      </c>
      <c r="E48" s="123">
        <v>245</v>
      </c>
      <c r="F48" s="123">
        <v>245</v>
      </c>
      <c r="G48" s="123">
        <f>((E48*8)+(F48*4))/12</f>
        <v>245</v>
      </c>
      <c r="H48" s="59">
        <v>245</v>
      </c>
      <c r="I48" s="59">
        <v>245</v>
      </c>
      <c r="J48" s="107">
        <f>SUM(K48:M48)</f>
        <v>44979.02</v>
      </c>
      <c r="K48" s="218">
        <f>23416.19+1351.63</f>
        <v>24767.82</v>
      </c>
      <c r="L48" s="209">
        <f>4001.99</f>
        <v>4001.99</v>
      </c>
      <c r="M48" s="443">
        <f>14314.24+1894.97</f>
        <v>16209.21</v>
      </c>
      <c r="N48" s="71">
        <f>SUM(O48:R48)</f>
        <v>11019859.9</v>
      </c>
      <c r="O48" s="71">
        <f>G48*K48</f>
        <v>6068115.9000000004</v>
      </c>
      <c r="P48" s="71">
        <f>G48*L48</f>
        <v>980487.54999999993</v>
      </c>
      <c r="Q48" s="71"/>
      <c r="R48" s="75">
        <f>G48*M48</f>
        <v>3971256.4499999997</v>
      </c>
      <c r="S48" s="46"/>
      <c r="T48" s="46">
        <f>N48</f>
        <v>11019859.9</v>
      </c>
      <c r="U48" s="46">
        <f>T48</f>
        <v>11019859.9</v>
      </c>
    </row>
    <row r="49" spans="1:21" ht="82.8">
      <c r="A49" s="554"/>
      <c r="B49" s="529"/>
      <c r="C49" s="63" t="s">
        <v>163</v>
      </c>
      <c r="D49" s="64" t="s">
        <v>101</v>
      </c>
      <c r="E49" s="123" t="s">
        <v>104</v>
      </c>
      <c r="F49" s="123" t="s">
        <v>104</v>
      </c>
      <c r="G49" s="123" t="s">
        <v>104</v>
      </c>
      <c r="H49" s="59" t="s">
        <v>104</v>
      </c>
      <c r="I49" s="59" t="s">
        <v>104</v>
      </c>
      <c r="J49" s="59" t="s">
        <v>104</v>
      </c>
      <c r="K49" s="123" t="s">
        <v>104</v>
      </c>
      <c r="L49" s="123" t="s">
        <v>104</v>
      </c>
      <c r="M49" s="121" t="s">
        <v>104</v>
      </c>
      <c r="N49" s="71"/>
      <c r="O49" s="71"/>
      <c r="P49" s="59" t="s">
        <v>104</v>
      </c>
      <c r="Q49" s="59"/>
      <c r="R49" s="121" t="s">
        <v>104</v>
      </c>
      <c r="S49" s="123"/>
      <c r="T49" s="46"/>
      <c r="U49" s="46"/>
    </row>
    <row r="50" spans="1:21">
      <c r="A50" s="554"/>
      <c r="B50" s="529"/>
      <c r="C50" s="63" t="s">
        <v>169</v>
      </c>
      <c r="D50" s="64" t="s">
        <v>101</v>
      </c>
      <c r="E50" s="123">
        <v>10</v>
      </c>
      <c r="F50" s="123">
        <v>10</v>
      </c>
      <c r="G50" s="123">
        <f>((E50*8)+(F50*4))/12</f>
        <v>10</v>
      </c>
      <c r="H50" s="59">
        <v>10</v>
      </c>
      <c r="I50" s="59">
        <v>10</v>
      </c>
      <c r="J50" s="75">
        <f t="shared" ref="J50:J56" si="9">K50</f>
        <v>69621.41</v>
      </c>
      <c r="K50" s="203">
        <v>69621.41</v>
      </c>
      <c r="L50" s="123" t="s">
        <v>104</v>
      </c>
      <c r="M50" s="121" t="s">
        <v>104</v>
      </c>
      <c r="N50" s="71">
        <f t="shared" ref="N50:N56" si="10">O50</f>
        <v>696214.10000000009</v>
      </c>
      <c r="O50" s="71">
        <f>G50*K50</f>
        <v>696214.10000000009</v>
      </c>
      <c r="P50" s="59" t="s">
        <v>104</v>
      </c>
      <c r="Q50" s="59"/>
      <c r="R50" s="121" t="s">
        <v>104</v>
      </c>
      <c r="S50" s="123"/>
      <c r="T50" s="46">
        <f t="shared" ref="T50:T56" si="11">H50*K50</f>
        <v>696214.10000000009</v>
      </c>
      <c r="U50" s="46">
        <f t="shared" ref="U50:U56" si="12">I50*K50</f>
        <v>696214.10000000009</v>
      </c>
    </row>
    <row r="51" spans="1:21">
      <c r="A51" s="554"/>
      <c r="B51" s="529"/>
      <c r="C51" s="63" t="s">
        <v>165</v>
      </c>
      <c r="D51" s="64" t="s">
        <v>101</v>
      </c>
      <c r="E51" s="123">
        <v>1</v>
      </c>
      <c r="F51" s="123">
        <v>1</v>
      </c>
      <c r="G51" s="123">
        <f>((E51*8)+(F51*4))/12</f>
        <v>1</v>
      </c>
      <c r="H51" s="59">
        <v>1</v>
      </c>
      <c r="I51" s="59">
        <v>1</v>
      </c>
      <c r="J51" s="75">
        <f t="shared" si="9"/>
        <v>92730.02</v>
      </c>
      <c r="K51" s="203">
        <v>92730.02</v>
      </c>
      <c r="L51" s="123" t="s">
        <v>104</v>
      </c>
      <c r="M51" s="121" t="s">
        <v>104</v>
      </c>
      <c r="N51" s="71">
        <f t="shared" si="10"/>
        <v>92730.02</v>
      </c>
      <c r="O51" s="71">
        <f>G51*K51</f>
        <v>92730.02</v>
      </c>
      <c r="P51" s="59" t="s">
        <v>104</v>
      </c>
      <c r="Q51" s="59"/>
      <c r="R51" s="121" t="s">
        <v>104</v>
      </c>
      <c r="S51" s="123"/>
      <c r="T51" s="46">
        <f t="shared" si="11"/>
        <v>92730.02</v>
      </c>
      <c r="U51" s="46">
        <f t="shared" si="12"/>
        <v>92730.02</v>
      </c>
    </row>
    <row r="52" spans="1:21">
      <c r="A52" s="554"/>
      <c r="B52" s="529"/>
      <c r="C52" s="63" t="s">
        <v>166</v>
      </c>
      <c r="D52" s="64" t="s">
        <v>101</v>
      </c>
      <c r="E52" s="123">
        <v>15</v>
      </c>
      <c r="F52" s="123">
        <v>15</v>
      </c>
      <c r="G52" s="123">
        <f t="shared" ref="G52:G70" si="13">((E52*8)+(F52*4))/12</f>
        <v>15</v>
      </c>
      <c r="H52" s="59">
        <v>15</v>
      </c>
      <c r="I52" s="59">
        <v>15</v>
      </c>
      <c r="J52" s="75">
        <f t="shared" si="9"/>
        <v>66620.070000000007</v>
      </c>
      <c r="K52" s="46">
        <v>66620.070000000007</v>
      </c>
      <c r="L52" s="123" t="s">
        <v>104</v>
      </c>
      <c r="M52" s="121" t="s">
        <v>104</v>
      </c>
      <c r="N52" s="71">
        <f>O52</f>
        <v>999301.05</v>
      </c>
      <c r="O52" s="71">
        <f t="shared" ref="O52:O56" si="14">G52*K52</f>
        <v>999301.05</v>
      </c>
      <c r="P52" s="59" t="s">
        <v>104</v>
      </c>
      <c r="Q52" s="59"/>
      <c r="R52" s="121" t="s">
        <v>104</v>
      </c>
      <c r="S52" s="123"/>
      <c r="T52" s="46">
        <f t="shared" si="11"/>
        <v>999301.05</v>
      </c>
      <c r="U52" s="46">
        <f t="shared" si="12"/>
        <v>999301.05</v>
      </c>
    </row>
    <row r="53" spans="1:21">
      <c r="A53" s="554"/>
      <c r="B53" s="529"/>
      <c r="C53" s="63" t="s">
        <v>167</v>
      </c>
      <c r="D53" s="64" t="s">
        <v>101</v>
      </c>
      <c r="E53" s="123"/>
      <c r="F53" s="123"/>
      <c r="G53" s="123">
        <f t="shared" si="13"/>
        <v>0</v>
      </c>
      <c r="H53" s="59"/>
      <c r="I53" s="59"/>
      <c r="J53" s="75">
        <f t="shared" si="9"/>
        <v>175131.65</v>
      </c>
      <c r="K53" s="46">
        <v>175131.65</v>
      </c>
      <c r="L53" s="123" t="s">
        <v>104</v>
      </c>
      <c r="M53" s="121" t="s">
        <v>104</v>
      </c>
      <c r="N53" s="71">
        <f t="shared" si="10"/>
        <v>0</v>
      </c>
      <c r="O53" s="71">
        <f t="shared" si="14"/>
        <v>0</v>
      </c>
      <c r="P53" s="59" t="s">
        <v>104</v>
      </c>
      <c r="Q53" s="59"/>
      <c r="R53" s="121" t="s">
        <v>104</v>
      </c>
      <c r="S53" s="123"/>
      <c r="T53" s="46">
        <f t="shared" si="11"/>
        <v>0</v>
      </c>
      <c r="U53" s="46">
        <f t="shared" si="12"/>
        <v>0</v>
      </c>
    </row>
    <row r="54" spans="1:21">
      <c r="A54" s="554"/>
      <c r="B54" s="529"/>
      <c r="C54" s="63" t="s">
        <v>170</v>
      </c>
      <c r="D54" s="64" t="s">
        <v>101</v>
      </c>
      <c r="E54" s="123">
        <v>2</v>
      </c>
      <c r="F54" s="123">
        <v>2</v>
      </c>
      <c r="G54" s="123">
        <f t="shared" si="13"/>
        <v>2</v>
      </c>
      <c r="H54" s="59">
        <v>2</v>
      </c>
      <c r="I54" s="59">
        <v>2</v>
      </c>
      <c r="J54" s="75">
        <f t="shared" si="9"/>
        <v>99909.59</v>
      </c>
      <c r="K54" s="46">
        <v>99909.59</v>
      </c>
      <c r="L54" s="123" t="s">
        <v>104</v>
      </c>
      <c r="M54" s="121" t="s">
        <v>104</v>
      </c>
      <c r="N54" s="71">
        <f t="shared" si="10"/>
        <v>199819.18</v>
      </c>
      <c r="O54" s="71">
        <f t="shared" si="14"/>
        <v>199819.18</v>
      </c>
      <c r="P54" s="59" t="s">
        <v>104</v>
      </c>
      <c r="Q54" s="59"/>
      <c r="R54" s="121" t="s">
        <v>104</v>
      </c>
      <c r="S54" s="123"/>
      <c r="T54" s="46">
        <f t="shared" si="11"/>
        <v>199819.18</v>
      </c>
      <c r="U54" s="46">
        <f t="shared" si="12"/>
        <v>199819.18</v>
      </c>
    </row>
    <row r="55" spans="1:21">
      <c r="A55" s="554"/>
      <c r="B55" s="529"/>
      <c r="C55" s="63" t="s">
        <v>316</v>
      </c>
      <c r="D55" s="64" t="s">
        <v>101</v>
      </c>
      <c r="E55" s="123">
        <v>8</v>
      </c>
      <c r="F55" s="123">
        <v>8</v>
      </c>
      <c r="G55" s="123">
        <f t="shared" si="13"/>
        <v>8</v>
      </c>
      <c r="H55" s="59">
        <v>8</v>
      </c>
      <c r="I55" s="59">
        <v>8</v>
      </c>
      <c r="J55" s="75">
        <f t="shared" si="9"/>
        <v>297817.59999999998</v>
      </c>
      <c r="K55" s="46">
        <v>297817.59999999998</v>
      </c>
      <c r="L55" s="123" t="s">
        <v>104</v>
      </c>
      <c r="M55" s="121" t="s">
        <v>104</v>
      </c>
      <c r="N55" s="71">
        <f t="shared" si="10"/>
        <v>2382540.7999999998</v>
      </c>
      <c r="O55" s="71">
        <f t="shared" si="14"/>
        <v>2382540.7999999998</v>
      </c>
      <c r="P55" s="59"/>
      <c r="Q55" s="59"/>
      <c r="R55" s="121"/>
      <c r="S55" s="123"/>
      <c r="T55" s="46">
        <f t="shared" si="11"/>
        <v>2382540.7999999998</v>
      </c>
      <c r="U55" s="46">
        <f t="shared" si="12"/>
        <v>2382540.7999999998</v>
      </c>
    </row>
    <row r="56" spans="1:21">
      <c r="A56" s="554"/>
      <c r="B56" s="529"/>
      <c r="C56" s="63" t="s">
        <v>168</v>
      </c>
      <c r="D56" s="64" t="s">
        <v>101</v>
      </c>
      <c r="E56" s="123"/>
      <c r="F56" s="123"/>
      <c r="G56" s="123"/>
      <c r="H56" s="59"/>
      <c r="I56" s="59"/>
      <c r="J56" s="75">
        <f t="shared" si="9"/>
        <v>23817.46</v>
      </c>
      <c r="K56" s="46">
        <v>23817.46</v>
      </c>
      <c r="L56" s="123" t="s">
        <v>104</v>
      </c>
      <c r="M56" s="121" t="s">
        <v>104</v>
      </c>
      <c r="N56" s="71">
        <f t="shared" si="10"/>
        <v>0</v>
      </c>
      <c r="O56" s="71">
        <f t="shared" si="14"/>
        <v>0</v>
      </c>
      <c r="P56" s="59" t="s">
        <v>104</v>
      </c>
      <c r="Q56" s="59"/>
      <c r="R56" s="121" t="s">
        <v>104</v>
      </c>
      <c r="S56" s="123"/>
      <c r="T56" s="46">
        <f t="shared" si="11"/>
        <v>0</v>
      </c>
      <c r="U56" s="46">
        <f t="shared" si="12"/>
        <v>0</v>
      </c>
    </row>
    <row r="57" spans="1:21" ht="82.8">
      <c r="A57" s="554"/>
      <c r="B57" s="529"/>
      <c r="C57" s="61" t="s">
        <v>105</v>
      </c>
      <c r="D57" s="64" t="s">
        <v>101</v>
      </c>
      <c r="E57" s="123">
        <v>1</v>
      </c>
      <c r="F57" s="123">
        <v>1</v>
      </c>
      <c r="G57" s="123">
        <f t="shared" si="13"/>
        <v>1</v>
      </c>
      <c r="H57" s="59">
        <v>1</v>
      </c>
      <c r="I57" s="59">
        <v>1</v>
      </c>
      <c r="J57" s="75">
        <f>SUM(K57:M57)</f>
        <v>143232.30000000002</v>
      </c>
      <c r="K57" s="46">
        <f>121669.47+1351.63</f>
        <v>123021.1</v>
      </c>
      <c r="L57" s="209">
        <f>4001.99</f>
        <v>4001.99</v>
      </c>
      <c r="M57" s="443">
        <f>14314.24+1894.97</f>
        <v>16209.21</v>
      </c>
      <c r="N57" s="71">
        <f>SUM(O57:R57)</f>
        <v>143232.30000000002</v>
      </c>
      <c r="O57" s="71">
        <f>G57*K57</f>
        <v>123021.1</v>
      </c>
      <c r="P57" s="71">
        <f>G57*L57</f>
        <v>4001.99</v>
      </c>
      <c r="Q57" s="71"/>
      <c r="R57" s="75">
        <f>G57*M57</f>
        <v>16209.21</v>
      </c>
      <c r="S57" s="46"/>
      <c r="T57" s="46">
        <f>H57*J57</f>
        <v>143232.30000000002</v>
      </c>
      <c r="U57" s="46">
        <f>T57</f>
        <v>143232.30000000002</v>
      </c>
    </row>
    <row r="58" spans="1:21">
      <c r="A58" s="554"/>
      <c r="B58" s="529"/>
      <c r="C58" s="290" t="s">
        <v>106</v>
      </c>
      <c r="D58" s="67"/>
      <c r="E58" s="123">
        <f>E48+E57</f>
        <v>246</v>
      </c>
      <c r="F58" s="123">
        <f>F48+F57</f>
        <v>246</v>
      </c>
      <c r="G58" s="123">
        <f>G48+G57</f>
        <v>246</v>
      </c>
      <c r="H58" s="59">
        <f>H48+H57</f>
        <v>246</v>
      </c>
      <c r="I58" s="59">
        <f>I48+I57</f>
        <v>246</v>
      </c>
      <c r="J58" s="71" t="s">
        <v>104</v>
      </c>
      <c r="K58" s="203" t="s">
        <v>104</v>
      </c>
      <c r="L58" s="203" t="s">
        <v>104</v>
      </c>
      <c r="M58" s="283" t="s">
        <v>104</v>
      </c>
      <c r="N58" s="118">
        <f>SUM(N48:N57)</f>
        <v>15533697.350000001</v>
      </c>
      <c r="O58" s="71">
        <f>SUM(O48:O57)</f>
        <v>10561742.149999999</v>
      </c>
      <c r="P58" s="71">
        <f>SUM(P48:P57)</f>
        <v>984489.53999999992</v>
      </c>
      <c r="Q58" s="71"/>
      <c r="R58" s="445">
        <f>SUM(R48:R57)</f>
        <v>3987465.6599999997</v>
      </c>
      <c r="S58" s="203"/>
      <c r="T58" s="46">
        <f>SUM(T48:T57)</f>
        <v>15533697.350000001</v>
      </c>
      <c r="U58" s="46">
        <f>SUM(U48:U57)</f>
        <v>15533697.350000001</v>
      </c>
    </row>
    <row r="59" spans="1:21" ht="82.95" customHeight="1">
      <c r="A59" s="554"/>
      <c r="B59" s="529" t="s">
        <v>238</v>
      </c>
      <c r="C59" s="61" t="s">
        <v>100</v>
      </c>
      <c r="D59" s="62" t="s">
        <v>101</v>
      </c>
      <c r="E59" s="123">
        <v>243</v>
      </c>
      <c r="F59" s="123">
        <v>243</v>
      </c>
      <c r="G59" s="123">
        <f t="shared" si="13"/>
        <v>243</v>
      </c>
      <c r="H59" s="59">
        <v>243</v>
      </c>
      <c r="I59" s="59">
        <v>243</v>
      </c>
      <c r="J59" s="107">
        <f>SUM(K59:M59)</f>
        <v>56551.729999999996</v>
      </c>
      <c r="K59" s="218">
        <f>34640.79+1649.65</f>
        <v>36290.44</v>
      </c>
      <c r="L59" s="209">
        <f>4001.99</f>
        <v>4001.99</v>
      </c>
      <c r="M59" s="443">
        <f>14567.32+1691.98</f>
        <v>16259.3</v>
      </c>
      <c r="N59" s="71">
        <f>SUM(O59:R59)</f>
        <v>13742070.390000001</v>
      </c>
      <c r="O59" s="71">
        <f>G59*K59</f>
        <v>8818576.9199999999</v>
      </c>
      <c r="P59" s="71">
        <f>G59*L59</f>
        <v>972483.57</v>
      </c>
      <c r="Q59" s="71"/>
      <c r="R59" s="75">
        <f>G59*M59</f>
        <v>3951009.9</v>
      </c>
      <c r="S59" s="46"/>
      <c r="T59" s="46">
        <f>H59*J59</f>
        <v>13742070.389999999</v>
      </c>
      <c r="U59" s="46">
        <f>T59</f>
        <v>13742070.389999999</v>
      </c>
    </row>
    <row r="60" spans="1:21" ht="82.8">
      <c r="A60" s="554"/>
      <c r="B60" s="529"/>
      <c r="C60" s="63" t="s">
        <v>102</v>
      </c>
      <c r="D60" s="64" t="s">
        <v>101</v>
      </c>
      <c r="E60" s="123" t="s">
        <v>104</v>
      </c>
      <c r="F60" s="123" t="s">
        <v>104</v>
      </c>
      <c r="G60" s="123" t="s">
        <v>104</v>
      </c>
      <c r="H60" s="59" t="s">
        <v>104</v>
      </c>
      <c r="I60" s="59" t="s">
        <v>104</v>
      </c>
      <c r="J60" s="59" t="s">
        <v>104</v>
      </c>
      <c r="K60" s="123" t="s">
        <v>191</v>
      </c>
      <c r="L60" s="123" t="s">
        <v>104</v>
      </c>
      <c r="M60" s="121" t="s">
        <v>104</v>
      </c>
      <c r="N60" s="71"/>
      <c r="O60" s="71"/>
      <c r="P60" s="59" t="s">
        <v>104</v>
      </c>
      <c r="Q60" s="59"/>
      <c r="R60" s="121" t="s">
        <v>104</v>
      </c>
      <c r="S60" s="123"/>
      <c r="T60" s="46"/>
      <c r="U60" s="46"/>
    </row>
    <row r="61" spans="1:21">
      <c r="A61" s="554"/>
      <c r="B61" s="529"/>
      <c r="C61" s="63" t="s">
        <v>165</v>
      </c>
      <c r="D61" s="64" t="s">
        <v>101</v>
      </c>
      <c r="E61" s="123">
        <v>2</v>
      </c>
      <c r="F61" s="123">
        <v>2</v>
      </c>
      <c r="G61" s="123">
        <f t="shared" si="13"/>
        <v>2</v>
      </c>
      <c r="H61" s="59">
        <v>2</v>
      </c>
      <c r="I61" s="59">
        <v>2</v>
      </c>
      <c r="J61" s="75">
        <f>K61</f>
        <v>92730.02</v>
      </c>
      <c r="K61" s="203">
        <v>92730.02</v>
      </c>
      <c r="L61" s="123" t="s">
        <v>104</v>
      </c>
      <c r="M61" s="121" t="s">
        <v>104</v>
      </c>
      <c r="N61" s="71">
        <f>O61</f>
        <v>185460.04</v>
      </c>
      <c r="O61" s="71">
        <f>G61*K61</f>
        <v>185460.04</v>
      </c>
      <c r="P61" s="59"/>
      <c r="Q61" s="59"/>
      <c r="R61" s="121"/>
      <c r="S61" s="123"/>
      <c r="T61" s="46">
        <f>H61*K61</f>
        <v>185460.04</v>
      </c>
      <c r="U61" s="46">
        <f>I61*K61</f>
        <v>185460.04</v>
      </c>
    </row>
    <row r="62" spans="1:21">
      <c r="A62" s="554"/>
      <c r="B62" s="529"/>
      <c r="C62" s="63" t="s">
        <v>167</v>
      </c>
      <c r="D62" s="64" t="s">
        <v>101</v>
      </c>
      <c r="E62" s="123">
        <v>3</v>
      </c>
      <c r="F62" s="123">
        <v>3</v>
      </c>
      <c r="G62" s="123">
        <f t="shared" si="13"/>
        <v>3</v>
      </c>
      <c r="H62" s="59">
        <v>3</v>
      </c>
      <c r="I62" s="59">
        <v>3</v>
      </c>
      <c r="J62" s="75">
        <f>K62</f>
        <v>264942.27</v>
      </c>
      <c r="K62" s="203">
        <v>264942.27</v>
      </c>
      <c r="L62" s="123" t="s">
        <v>104</v>
      </c>
      <c r="M62" s="121" t="s">
        <v>104</v>
      </c>
      <c r="N62" s="71">
        <f>O62</f>
        <v>794826.81</v>
      </c>
      <c r="O62" s="71">
        <f t="shared" ref="O62:O65" si="15">G62*K62</f>
        <v>794826.81</v>
      </c>
      <c r="P62" s="59"/>
      <c r="Q62" s="59"/>
      <c r="R62" s="121"/>
      <c r="S62" s="123"/>
      <c r="T62" s="46">
        <f>H62*K62</f>
        <v>794826.81</v>
      </c>
      <c r="U62" s="46">
        <f>I62*K62</f>
        <v>794826.81</v>
      </c>
    </row>
    <row r="63" spans="1:21">
      <c r="A63" s="554"/>
      <c r="B63" s="529"/>
      <c r="C63" s="63" t="s">
        <v>190</v>
      </c>
      <c r="D63" s="64" t="s">
        <v>101</v>
      </c>
      <c r="E63" s="122"/>
      <c r="F63" s="122"/>
      <c r="G63" s="123">
        <f t="shared" si="13"/>
        <v>0</v>
      </c>
      <c r="H63" s="60"/>
      <c r="I63" s="60"/>
      <c r="J63" s="75">
        <f>K63</f>
        <v>165747.20000000001</v>
      </c>
      <c r="K63" s="46">
        <v>165747.20000000001</v>
      </c>
      <c r="L63" s="123" t="s">
        <v>104</v>
      </c>
      <c r="M63" s="121" t="s">
        <v>104</v>
      </c>
      <c r="N63" s="71">
        <f>O63</f>
        <v>0</v>
      </c>
      <c r="O63" s="71">
        <f t="shared" si="15"/>
        <v>0</v>
      </c>
      <c r="P63" s="59" t="s">
        <v>104</v>
      </c>
      <c r="Q63" s="59"/>
      <c r="R63" s="121" t="s">
        <v>104</v>
      </c>
      <c r="S63" s="123"/>
      <c r="T63" s="46">
        <f>H63*K63</f>
        <v>0</v>
      </c>
      <c r="U63" s="46">
        <f>I63*K63</f>
        <v>0</v>
      </c>
    </row>
    <row r="64" spans="1:21">
      <c r="A64" s="554"/>
      <c r="B64" s="529"/>
      <c r="C64" s="63" t="s">
        <v>170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K64</f>
        <v>33033.199999999997</v>
      </c>
      <c r="K64" s="46">
        <v>33033.199999999997</v>
      </c>
      <c r="L64" s="123" t="s">
        <v>104</v>
      </c>
      <c r="M64" s="121" t="s">
        <v>104</v>
      </c>
      <c r="N64" s="71">
        <f>O64</f>
        <v>33033.199999999997</v>
      </c>
      <c r="O64" s="71">
        <f t="shared" si="15"/>
        <v>33033.199999999997</v>
      </c>
      <c r="P64" s="59" t="s">
        <v>104</v>
      </c>
      <c r="Q64" s="59"/>
      <c r="R64" s="121" t="s">
        <v>104</v>
      </c>
      <c r="S64" s="123"/>
      <c r="T64" s="46">
        <f>H64*K64</f>
        <v>33033.199999999997</v>
      </c>
      <c r="U64" s="46">
        <f>I64*K64</f>
        <v>33033.199999999997</v>
      </c>
    </row>
    <row r="65" spans="1:23">
      <c r="A65" s="554"/>
      <c r="B65" s="529"/>
      <c r="C65" s="63" t="s">
        <v>168</v>
      </c>
      <c r="D65" s="64" t="s">
        <v>101</v>
      </c>
      <c r="E65" s="122">
        <v>2</v>
      </c>
      <c r="F65" s="122">
        <v>2</v>
      </c>
      <c r="G65" s="123">
        <f t="shared" si="13"/>
        <v>2</v>
      </c>
      <c r="H65" s="60">
        <v>2</v>
      </c>
      <c r="I65" s="60">
        <v>2</v>
      </c>
      <c r="J65" s="75">
        <f>K65</f>
        <v>23817.46</v>
      </c>
      <c r="K65" s="46">
        <v>23817.46</v>
      </c>
      <c r="L65" s="123" t="s">
        <v>104</v>
      </c>
      <c r="M65" s="121" t="s">
        <v>104</v>
      </c>
      <c r="N65" s="71">
        <f>O65</f>
        <v>47634.92</v>
      </c>
      <c r="O65" s="71">
        <f t="shared" si="15"/>
        <v>47634.92</v>
      </c>
      <c r="P65" s="59" t="s">
        <v>104</v>
      </c>
      <c r="Q65" s="59"/>
      <c r="R65" s="121" t="s">
        <v>104</v>
      </c>
      <c r="S65" s="123"/>
      <c r="T65" s="46">
        <f>H65*K65</f>
        <v>47634.92</v>
      </c>
      <c r="U65" s="46">
        <f>I65*K65</f>
        <v>47634.92</v>
      </c>
    </row>
    <row r="66" spans="1:23" ht="82.8">
      <c r="A66" s="554"/>
      <c r="B66" s="529"/>
      <c r="C66" s="61" t="s">
        <v>105</v>
      </c>
      <c r="D66" s="64" t="s">
        <v>101</v>
      </c>
      <c r="E66" s="122">
        <v>1</v>
      </c>
      <c r="F66" s="122">
        <v>1</v>
      </c>
      <c r="G66" s="123">
        <f t="shared" si="13"/>
        <v>1</v>
      </c>
      <c r="H66" s="60">
        <v>1</v>
      </c>
      <c r="I66" s="60">
        <v>1</v>
      </c>
      <c r="J66" s="75">
        <f>SUM(K66:M66)</f>
        <v>173563.96999999997</v>
      </c>
      <c r="K66" s="46">
        <f>151653.03+1649.65</f>
        <v>153302.68</v>
      </c>
      <c r="L66" s="209">
        <f>4001.99</f>
        <v>4001.99</v>
      </c>
      <c r="M66" s="443">
        <f>14567.32+1691.98</f>
        <v>16259.3</v>
      </c>
      <c r="N66" s="71">
        <f>SUM(O66:R66)</f>
        <v>173563.96999999997</v>
      </c>
      <c r="O66" s="71">
        <f>G66*K66</f>
        <v>153302.68</v>
      </c>
      <c r="P66" s="73">
        <f>G66*L66</f>
        <v>4001.99</v>
      </c>
      <c r="Q66" s="73"/>
      <c r="R66" s="75">
        <f>G66*M66</f>
        <v>16259.3</v>
      </c>
      <c r="S66" s="46"/>
      <c r="T66" s="46">
        <f>H66*J66</f>
        <v>173563.96999999997</v>
      </c>
      <c r="U66" s="46">
        <f>T66</f>
        <v>173563.96999999997</v>
      </c>
    </row>
    <row r="67" spans="1:23">
      <c r="A67" s="554"/>
      <c r="B67" s="271"/>
      <c r="C67" s="290" t="s">
        <v>106</v>
      </c>
      <c r="D67" s="64"/>
      <c r="E67" s="122">
        <f>E59+E66</f>
        <v>244</v>
      </c>
      <c r="F67" s="122">
        <f>F59+F66</f>
        <v>244</v>
      </c>
      <c r="G67" s="122">
        <f>G59+G66</f>
        <v>244</v>
      </c>
      <c r="H67" s="60">
        <f>H59+H66</f>
        <v>244</v>
      </c>
      <c r="I67" s="60">
        <f>I59+I66</f>
        <v>244</v>
      </c>
      <c r="J67" s="73" t="s">
        <v>104</v>
      </c>
      <c r="K67" s="205" t="s">
        <v>104</v>
      </c>
      <c r="L67" s="185" t="s">
        <v>104</v>
      </c>
      <c r="M67" s="444" t="s">
        <v>104</v>
      </c>
      <c r="N67" s="103">
        <f t="shared" ref="N67:U67" si="16">SUM(N59:N66)</f>
        <v>14976589.33</v>
      </c>
      <c r="O67" s="74">
        <f t="shared" si="16"/>
        <v>10032834.569999998</v>
      </c>
      <c r="P67" s="74">
        <f t="shared" si="16"/>
        <v>976485.55999999994</v>
      </c>
      <c r="Q67" s="74"/>
      <c r="R67" s="136">
        <f t="shared" si="16"/>
        <v>3967269.1999999997</v>
      </c>
      <c r="S67" s="185"/>
      <c r="T67" s="46">
        <f t="shared" si="16"/>
        <v>14976589.329999998</v>
      </c>
      <c r="U67" s="46">
        <f t="shared" si="16"/>
        <v>14976589.329999998</v>
      </c>
    </row>
    <row r="68" spans="1:23" ht="82.95" customHeight="1">
      <c r="A68" s="554"/>
      <c r="B68" s="529" t="s">
        <v>239</v>
      </c>
      <c r="C68" s="61" t="s">
        <v>100</v>
      </c>
      <c r="D68" s="62" t="s">
        <v>101</v>
      </c>
      <c r="E68" s="122">
        <v>32</v>
      </c>
      <c r="F68" s="122">
        <v>32</v>
      </c>
      <c r="G68" s="123">
        <f t="shared" si="13"/>
        <v>32</v>
      </c>
      <c r="H68" s="60">
        <v>32</v>
      </c>
      <c r="I68" s="60">
        <v>32</v>
      </c>
      <c r="J68" s="107">
        <f>SUM(K68:M68)</f>
        <v>63623.439999999995</v>
      </c>
      <c r="K68" s="218">
        <f>41398.46+1998.78</f>
        <v>43397.24</v>
      </c>
      <c r="L68" s="209">
        <f>4001.99</f>
        <v>4001.99</v>
      </c>
      <c r="M68" s="443">
        <f>14934.34+1289.87</f>
        <v>16224.21</v>
      </c>
      <c r="N68" s="73">
        <f>SUM(O68:R68)</f>
        <v>2035950.0799999998</v>
      </c>
      <c r="O68" s="73">
        <f>G68*K68</f>
        <v>1388711.68</v>
      </c>
      <c r="P68" s="73">
        <f>G68*L68</f>
        <v>128063.67999999999</v>
      </c>
      <c r="Q68" s="73"/>
      <c r="R68" s="75">
        <f>G68*M68</f>
        <v>519174.72</v>
      </c>
      <c r="S68" s="46"/>
      <c r="T68" s="46">
        <f>N68</f>
        <v>2035950.0799999998</v>
      </c>
      <c r="U68" s="46">
        <f>T68</f>
        <v>2035950.0799999998</v>
      </c>
    </row>
    <row r="69" spans="1:23" ht="82.8">
      <c r="A69" s="554"/>
      <c r="B69" s="529"/>
      <c r="C69" s="63" t="s">
        <v>102</v>
      </c>
      <c r="D69" s="64" t="s">
        <v>101</v>
      </c>
      <c r="E69" s="123" t="s">
        <v>104</v>
      </c>
      <c r="F69" s="123" t="s">
        <v>104</v>
      </c>
      <c r="G69" s="123" t="s">
        <v>104</v>
      </c>
      <c r="H69" s="59" t="s">
        <v>104</v>
      </c>
      <c r="I69" s="59" t="s">
        <v>104</v>
      </c>
      <c r="J69" s="59" t="s">
        <v>104</v>
      </c>
      <c r="K69" s="123" t="s">
        <v>104</v>
      </c>
      <c r="L69" s="123" t="s">
        <v>104</v>
      </c>
      <c r="M69" s="121" t="s">
        <v>104</v>
      </c>
      <c r="N69" s="71"/>
      <c r="O69" s="71"/>
      <c r="P69" s="59" t="s">
        <v>104</v>
      </c>
      <c r="Q69" s="59"/>
      <c r="R69" s="121" t="s">
        <v>104</v>
      </c>
      <c r="S69" s="123"/>
      <c r="T69" s="46"/>
      <c r="U69" s="46"/>
    </row>
    <row r="70" spans="1:23">
      <c r="A70" s="554"/>
      <c r="B70" s="529"/>
      <c r="C70" s="63" t="s">
        <v>168</v>
      </c>
      <c r="D70" s="64" t="s">
        <v>101</v>
      </c>
      <c r="E70" s="122"/>
      <c r="F70" s="122"/>
      <c r="G70" s="123">
        <f t="shared" si="13"/>
        <v>0</v>
      </c>
      <c r="H70" s="60"/>
      <c r="I70" s="60"/>
      <c r="J70" s="75">
        <f>K70</f>
        <v>23817.46</v>
      </c>
      <c r="K70" s="46">
        <v>23817.46</v>
      </c>
      <c r="L70" s="123" t="s">
        <v>104</v>
      </c>
      <c r="M70" s="121" t="s">
        <v>104</v>
      </c>
      <c r="N70" s="71">
        <f>O70</f>
        <v>0</v>
      </c>
      <c r="O70" s="71">
        <f>G70*K70</f>
        <v>0</v>
      </c>
      <c r="P70" s="59" t="s">
        <v>104</v>
      </c>
      <c r="Q70" s="59"/>
      <c r="R70" s="121" t="s">
        <v>104</v>
      </c>
      <c r="S70" s="123"/>
      <c r="T70" s="46">
        <f>H70*K70</f>
        <v>0</v>
      </c>
      <c r="U70" s="46">
        <f>I70*K70</f>
        <v>0</v>
      </c>
      <c r="W70" s="182">
        <v>38189469.439999998</v>
      </c>
    </row>
    <row r="71" spans="1:23" ht="82.8">
      <c r="A71" s="554"/>
      <c r="B71" s="529"/>
      <c r="C71" s="61" t="s">
        <v>105</v>
      </c>
      <c r="D71" s="64" t="s">
        <v>101</v>
      </c>
      <c r="E71" s="122">
        <v>0</v>
      </c>
      <c r="F71" s="122"/>
      <c r="G71" s="122"/>
      <c r="H71" s="60">
        <v>0</v>
      </c>
      <c r="I71" s="60">
        <v>0</v>
      </c>
      <c r="J71" s="73">
        <f>K71</f>
        <v>183635.38</v>
      </c>
      <c r="K71" s="205">
        <f>181636.6+1998.78</f>
        <v>183635.38</v>
      </c>
      <c r="L71" s="209">
        <f>4001.99</f>
        <v>4001.99</v>
      </c>
      <c r="M71" s="443">
        <f>14934.34+1289.87</f>
        <v>16224.21</v>
      </c>
      <c r="N71" s="71">
        <f>SUM(O71:R71)</f>
        <v>0</v>
      </c>
      <c r="O71" s="73">
        <f>G71*K71</f>
        <v>0</v>
      </c>
      <c r="P71" s="73">
        <f>E71*L71*3.080014262</f>
        <v>0</v>
      </c>
      <c r="Q71" s="73"/>
      <c r="R71" s="75">
        <f>G71*M71</f>
        <v>0</v>
      </c>
      <c r="S71" s="46"/>
      <c r="T71" s="46">
        <f>H71*K71</f>
        <v>0</v>
      </c>
      <c r="U71" s="46">
        <f>I71*K71</f>
        <v>0</v>
      </c>
      <c r="W71" s="192">
        <f>T82-W70</f>
        <v>897542.39999999851</v>
      </c>
    </row>
    <row r="72" spans="1:23">
      <c r="A72" s="554"/>
      <c r="B72" s="271"/>
      <c r="C72" s="290" t="s">
        <v>106</v>
      </c>
      <c r="D72" s="64"/>
      <c r="E72" s="122">
        <f>E68+E71</f>
        <v>32</v>
      </c>
      <c r="F72" s="122">
        <f>F68+F71</f>
        <v>32</v>
      </c>
      <c r="G72" s="122">
        <f>G68+G71</f>
        <v>32</v>
      </c>
      <c r="H72" s="60">
        <f>H68+H71</f>
        <v>32</v>
      </c>
      <c r="I72" s="60">
        <f>I68+I71</f>
        <v>32</v>
      </c>
      <c r="J72" s="73" t="s">
        <v>104</v>
      </c>
      <c r="K72" s="205" t="s">
        <v>104</v>
      </c>
      <c r="L72" s="185" t="s">
        <v>104</v>
      </c>
      <c r="M72" s="444" t="s">
        <v>104</v>
      </c>
      <c r="N72" s="103">
        <f>SUM(N68:N71)</f>
        <v>2035950.0799999998</v>
      </c>
      <c r="O72" s="74">
        <f>SUM(O68:O71)</f>
        <v>1388711.68</v>
      </c>
      <c r="P72" s="74">
        <f>SUM(P68:P71)</f>
        <v>128063.67999999999</v>
      </c>
      <c r="Q72" s="74"/>
      <c r="R72" s="136">
        <f>SUM(R68:R71)</f>
        <v>519174.72</v>
      </c>
      <c r="S72" s="185"/>
      <c r="T72" s="46">
        <f>SUM(T68:T71)</f>
        <v>2035950.0799999998</v>
      </c>
      <c r="U72" s="46">
        <f>SUM(U68:U71)</f>
        <v>2035950.0799999998</v>
      </c>
    </row>
    <row r="73" spans="1:23" ht="100.95" customHeight="1">
      <c r="A73" s="554"/>
      <c r="B73" s="137" t="s">
        <v>240</v>
      </c>
      <c r="C73" s="61" t="s">
        <v>187</v>
      </c>
      <c r="D73" s="64" t="s">
        <v>101</v>
      </c>
      <c r="E73" s="122">
        <v>996</v>
      </c>
      <c r="F73" s="122">
        <v>996</v>
      </c>
      <c r="G73" s="123">
        <f>((E73*8)+(F73*4))/12</f>
        <v>996</v>
      </c>
      <c r="H73" s="60">
        <v>996</v>
      </c>
      <c r="I73" s="60">
        <v>996</v>
      </c>
      <c r="J73" s="75">
        <f>K73</f>
        <v>3978.73</v>
      </c>
      <c r="K73" s="46">
        <v>3978.73</v>
      </c>
      <c r="L73" s="184" t="s">
        <v>104</v>
      </c>
      <c r="M73" s="72" t="s">
        <v>104</v>
      </c>
      <c r="N73" s="73">
        <f>SUM(O73:R73)</f>
        <v>3962815.08</v>
      </c>
      <c r="O73" s="73">
        <f>K73*G73</f>
        <v>3962815.08</v>
      </c>
      <c r="P73" s="73" t="s">
        <v>104</v>
      </c>
      <c r="Q73" s="73"/>
      <c r="R73" s="75" t="s">
        <v>104</v>
      </c>
      <c r="S73" s="205"/>
      <c r="T73" s="46">
        <f>H73*J73</f>
        <v>3962815.08</v>
      </c>
      <c r="U73" s="46">
        <f t="shared" ref="U73:U80" si="17">T73</f>
        <v>3962815.08</v>
      </c>
    </row>
    <row r="74" spans="1:23">
      <c r="A74" s="554"/>
      <c r="B74" s="69"/>
      <c r="C74" s="290" t="s">
        <v>106</v>
      </c>
      <c r="D74" s="69"/>
      <c r="E74" s="122">
        <f>SUM(E73:E73)</f>
        <v>996</v>
      </c>
      <c r="F74" s="122">
        <f>SUM(F73:F73)</f>
        <v>996</v>
      </c>
      <c r="G74" s="122">
        <f>SUM(G73:G73)</f>
        <v>996</v>
      </c>
      <c r="H74" s="60">
        <f>SUM(H73:H73)</f>
        <v>996</v>
      </c>
      <c r="I74" s="60">
        <f>SUM(I73:I73)</f>
        <v>996</v>
      </c>
      <c r="J74" s="73" t="s">
        <v>104</v>
      </c>
      <c r="K74" s="205" t="s">
        <v>104</v>
      </c>
      <c r="L74" s="185" t="s">
        <v>104</v>
      </c>
      <c r="M74" s="444">
        <f t="shared" ref="M74:R74" si="18">SUM(M73:M73)</f>
        <v>0</v>
      </c>
      <c r="N74" s="103">
        <f t="shared" si="18"/>
        <v>3962815.08</v>
      </c>
      <c r="O74" s="74">
        <f>SUM(O73:O73)</f>
        <v>3962815.08</v>
      </c>
      <c r="P74" s="74">
        <f t="shared" si="18"/>
        <v>0</v>
      </c>
      <c r="Q74" s="74"/>
      <c r="R74" s="444">
        <f t="shared" si="18"/>
        <v>0</v>
      </c>
      <c r="S74" s="185"/>
      <c r="T74" s="46">
        <f>N74</f>
        <v>3962815.08</v>
      </c>
      <c r="U74" s="46">
        <f t="shared" si="17"/>
        <v>3962815.08</v>
      </c>
    </row>
    <row r="75" spans="1:23" ht="13.95" hidden="1" customHeight="1">
      <c r="A75" s="554"/>
      <c r="B75" s="69" t="s">
        <v>282</v>
      </c>
      <c r="C75" s="181" t="s">
        <v>226</v>
      </c>
      <c r="D75" s="69"/>
      <c r="E75" s="122"/>
      <c r="F75" s="122"/>
      <c r="G75" s="122"/>
      <c r="H75" s="60"/>
      <c r="I75" s="60"/>
      <c r="J75" s="73"/>
      <c r="K75" s="205"/>
      <c r="L75" s="185"/>
      <c r="M75" s="444"/>
      <c r="N75" s="74">
        <f>P75</f>
        <v>0</v>
      </c>
      <c r="O75" s="74"/>
      <c r="P75" s="74"/>
      <c r="Q75" s="74"/>
      <c r="R75" s="444"/>
      <c r="S75" s="185"/>
      <c r="T75" s="46">
        <f>P75</f>
        <v>0</v>
      </c>
      <c r="U75" s="46">
        <f t="shared" si="17"/>
        <v>0</v>
      </c>
    </row>
    <row r="76" spans="1:23" ht="13.95" hidden="1" customHeight="1">
      <c r="A76" s="554"/>
      <c r="B76" s="89" t="s">
        <v>225</v>
      </c>
      <c r="C76" s="181" t="s">
        <v>219</v>
      </c>
      <c r="D76" s="64" t="s">
        <v>101</v>
      </c>
      <c r="E76" s="122">
        <v>19</v>
      </c>
      <c r="F76" s="122">
        <v>19</v>
      </c>
      <c r="G76" s="122">
        <v>19</v>
      </c>
      <c r="H76" s="60">
        <v>19</v>
      </c>
      <c r="I76" s="60">
        <v>19</v>
      </c>
      <c r="J76" s="73"/>
      <c r="K76" s="205"/>
      <c r="L76" s="185"/>
      <c r="M76" s="444"/>
      <c r="N76" s="74">
        <f>S76</f>
        <v>0</v>
      </c>
      <c r="O76" s="74"/>
      <c r="P76" s="74"/>
      <c r="Q76" s="74"/>
      <c r="R76" s="444"/>
      <c r="S76" s="185"/>
      <c r="T76" s="46">
        <f>S76</f>
        <v>0</v>
      </c>
      <c r="U76" s="46">
        <f t="shared" si="17"/>
        <v>0</v>
      </c>
    </row>
    <row r="77" spans="1:23" ht="13.95" hidden="1" customHeight="1">
      <c r="A77" s="554"/>
      <c r="B77" s="89" t="s">
        <v>225</v>
      </c>
      <c r="C77" s="181" t="s">
        <v>226</v>
      </c>
      <c r="D77" s="64" t="s">
        <v>101</v>
      </c>
      <c r="E77" s="122">
        <v>4</v>
      </c>
      <c r="F77" s="122">
        <v>4</v>
      </c>
      <c r="G77" s="122">
        <v>4</v>
      </c>
      <c r="H77" s="60">
        <v>4</v>
      </c>
      <c r="I77" s="60">
        <v>4</v>
      </c>
      <c r="J77" s="73"/>
      <c r="K77" s="205"/>
      <c r="L77" s="185"/>
      <c r="M77" s="444"/>
      <c r="N77" s="74">
        <f>Q77</f>
        <v>0</v>
      </c>
      <c r="O77" s="74"/>
      <c r="P77" s="74"/>
      <c r="Q77" s="74"/>
      <c r="R77" s="444"/>
      <c r="S77" s="185"/>
      <c r="T77" s="46"/>
      <c r="U77" s="46">
        <f t="shared" si="17"/>
        <v>0</v>
      </c>
      <c r="V77" s="192">
        <f>Q77-T77</f>
        <v>0</v>
      </c>
    </row>
    <row r="78" spans="1:23" ht="13.95" hidden="1" customHeight="1">
      <c r="A78" s="554"/>
      <c r="B78" s="89" t="s">
        <v>281</v>
      </c>
      <c r="C78" s="181" t="s">
        <v>219</v>
      </c>
      <c r="D78" s="64"/>
      <c r="E78" s="122"/>
      <c r="F78" s="122"/>
      <c r="G78" s="122"/>
      <c r="H78" s="60"/>
      <c r="I78" s="60"/>
      <c r="J78" s="73"/>
      <c r="K78" s="205"/>
      <c r="L78" s="185"/>
      <c r="M78" s="444"/>
      <c r="N78" s="74">
        <f>S78</f>
        <v>0</v>
      </c>
      <c r="O78" s="74"/>
      <c r="P78" s="74"/>
      <c r="Q78" s="74"/>
      <c r="R78" s="444"/>
      <c r="S78" s="185"/>
      <c r="T78" s="46"/>
      <c r="U78" s="46"/>
    </row>
    <row r="79" spans="1:23">
      <c r="A79" s="554"/>
      <c r="B79" s="89" t="s">
        <v>288</v>
      </c>
      <c r="C79" s="181" t="s">
        <v>226</v>
      </c>
      <c r="D79" s="64"/>
      <c r="E79" s="122">
        <v>23</v>
      </c>
      <c r="F79" s="122">
        <v>23</v>
      </c>
      <c r="G79" s="122">
        <v>23</v>
      </c>
      <c r="H79" s="60">
        <v>23</v>
      </c>
      <c r="I79" s="60">
        <v>23</v>
      </c>
      <c r="J79" s="73"/>
      <c r="K79" s="205"/>
      <c r="L79" s="185"/>
      <c r="M79" s="444"/>
      <c r="N79" s="74">
        <f>O79</f>
        <v>2695141</v>
      </c>
      <c r="O79" s="74">
        <v>2695141</v>
      </c>
      <c r="P79" s="74"/>
      <c r="Q79" s="74"/>
      <c r="R79" s="444"/>
      <c r="S79" s="185"/>
      <c r="T79" s="46">
        <v>2577960</v>
      </c>
      <c r="U79" s="46">
        <f>T79</f>
        <v>2577960</v>
      </c>
    </row>
    <row r="80" spans="1:23" ht="13.95" hidden="1" customHeight="1">
      <c r="A80" s="554"/>
      <c r="B80" s="89" t="s">
        <v>257</v>
      </c>
      <c r="C80" s="181" t="s">
        <v>226</v>
      </c>
      <c r="D80" s="64"/>
      <c r="E80" s="122"/>
      <c r="F80" s="122"/>
      <c r="G80" s="122"/>
      <c r="H80" s="60"/>
      <c r="I80" s="60"/>
      <c r="J80" s="73"/>
      <c r="K80" s="205"/>
      <c r="L80" s="185"/>
      <c r="M80" s="444"/>
      <c r="N80" s="74">
        <f>O80</f>
        <v>0</v>
      </c>
      <c r="O80" s="74"/>
      <c r="P80" s="74"/>
      <c r="Q80" s="74"/>
      <c r="R80" s="444"/>
      <c r="S80" s="185"/>
      <c r="T80" s="46">
        <f>O80</f>
        <v>0</v>
      </c>
      <c r="U80" s="46">
        <f t="shared" si="17"/>
        <v>0</v>
      </c>
    </row>
    <row r="81" spans="1:27" ht="13.95" hidden="1" customHeight="1">
      <c r="A81" s="554"/>
      <c r="B81" s="89" t="s">
        <v>289</v>
      </c>
      <c r="C81" s="181" t="s">
        <v>226</v>
      </c>
      <c r="D81" s="64"/>
      <c r="E81" s="122"/>
      <c r="F81" s="122"/>
      <c r="G81" s="122"/>
      <c r="H81" s="60"/>
      <c r="I81" s="60"/>
      <c r="J81" s="73"/>
      <c r="K81" s="205"/>
      <c r="L81" s="185"/>
      <c r="M81" s="444"/>
      <c r="N81" s="74">
        <f>P81</f>
        <v>0</v>
      </c>
      <c r="O81" s="74"/>
      <c r="P81" s="74"/>
      <c r="Q81" s="74"/>
      <c r="R81" s="444"/>
      <c r="S81" s="185"/>
      <c r="T81" s="46"/>
      <c r="U81" s="46">
        <f>T81</f>
        <v>0</v>
      </c>
    </row>
    <row r="82" spans="1:27">
      <c r="A82" s="554"/>
      <c r="B82" s="101" t="s">
        <v>112</v>
      </c>
      <c r="C82" s="101"/>
      <c r="D82" s="69"/>
      <c r="E82" s="212">
        <f>E58+E67+E72</f>
        <v>522</v>
      </c>
      <c r="F82" s="102">
        <f>F58+F67+F72</f>
        <v>522</v>
      </c>
      <c r="G82" s="212">
        <f>G58+G67+G72</f>
        <v>522</v>
      </c>
      <c r="H82" s="102">
        <f>H58+H67+H72</f>
        <v>522</v>
      </c>
      <c r="I82" s="102">
        <f>I58+I67+I72</f>
        <v>522</v>
      </c>
      <c r="J82" s="104"/>
      <c r="K82" s="219"/>
      <c r="L82" s="138"/>
      <c r="M82" s="136"/>
      <c r="N82" s="103">
        <f>SUM(O82:S82)</f>
        <v>39204192.839999996</v>
      </c>
      <c r="O82" s="103">
        <f>O58+O67+O72+O74+O79+O80</f>
        <v>28641244.479999997</v>
      </c>
      <c r="P82" s="103">
        <f>P58+P67+P72+P74+P75+P76+P77+P81</f>
        <v>2089038.7799999998</v>
      </c>
      <c r="Q82" s="103">
        <f>Q58+Q67+Q72+Q74+Q75+Q76+Q77</f>
        <v>0</v>
      </c>
      <c r="R82" s="136">
        <f>R58+R67+R72+R74+R75+R76+R77+R78</f>
        <v>8473909.5800000001</v>
      </c>
      <c r="S82" s="138">
        <f>S58+S67+S72+S74+S75+S76+S77+S78</f>
        <v>0</v>
      </c>
      <c r="T82" s="138">
        <f>T58+T67+T72+T74+T75+T76+T77+T78+T79+T80+T81</f>
        <v>39087011.839999996</v>
      </c>
      <c r="U82" s="138">
        <f>U58+U67+U72+U74+U75+U76+U77+U78+U79+U80+U81</f>
        <v>39087011.839999996</v>
      </c>
      <c r="V82" s="192">
        <v>9512309.3499999996</v>
      </c>
      <c r="W82" s="192">
        <f>V82-R82</f>
        <v>1038399.7699999996</v>
      </c>
      <c r="X82" s="182">
        <f>W82/G82</f>
        <v>1989.2715900383132</v>
      </c>
      <c r="AA82" s="192"/>
    </row>
    <row r="83" spans="1:27" ht="82.95" customHeight="1">
      <c r="A83" s="528" t="s">
        <v>114</v>
      </c>
      <c r="B83" s="529" t="s">
        <v>237</v>
      </c>
      <c r="C83" s="61" t="s">
        <v>100</v>
      </c>
      <c r="D83" s="62" t="s">
        <v>101</v>
      </c>
      <c r="E83" s="123">
        <v>256</v>
      </c>
      <c r="F83" s="123">
        <v>256</v>
      </c>
      <c r="G83" s="123">
        <f t="shared" ref="G83:G106" si="19">((E83*8)+(F83*4))/12</f>
        <v>256</v>
      </c>
      <c r="H83" s="59">
        <v>256</v>
      </c>
      <c r="I83" s="59">
        <v>256</v>
      </c>
      <c r="J83" s="107">
        <f>SUM(K83:M83)</f>
        <v>44979.02</v>
      </c>
      <c r="K83" s="218">
        <f>23416.19+1351.63</f>
        <v>24767.82</v>
      </c>
      <c r="L83" s="209">
        <f>4001.99</f>
        <v>4001.99</v>
      </c>
      <c r="M83" s="443">
        <f>14314.24+1894.97</f>
        <v>16209.21</v>
      </c>
      <c r="N83" s="71">
        <f>SUM(O83:R83)</f>
        <v>11514629.119999999</v>
      </c>
      <c r="O83" s="71">
        <f>G83*K83</f>
        <v>6340561.9199999999</v>
      </c>
      <c r="P83" s="71">
        <f>G83*L83</f>
        <v>1024509.4399999999</v>
      </c>
      <c r="Q83" s="71"/>
      <c r="R83" s="75">
        <f>G83*M83</f>
        <v>4149557.76</v>
      </c>
      <c r="S83" s="46"/>
      <c r="T83" s="46">
        <f>N83</f>
        <v>11514629.119999999</v>
      </c>
      <c r="U83" s="46">
        <f>T83</f>
        <v>11514629.119999999</v>
      </c>
    </row>
    <row r="84" spans="1:27" ht="82.8">
      <c r="A84" s="528"/>
      <c r="B84" s="529"/>
      <c r="C84" s="63" t="s">
        <v>163</v>
      </c>
      <c r="D84" s="64" t="s">
        <v>101</v>
      </c>
      <c r="E84" s="123" t="s">
        <v>104</v>
      </c>
      <c r="F84" s="123" t="s">
        <v>104</v>
      </c>
      <c r="G84" s="123" t="s">
        <v>104</v>
      </c>
      <c r="H84" s="59" t="s">
        <v>104</v>
      </c>
      <c r="I84" s="59" t="s">
        <v>104</v>
      </c>
      <c r="J84" s="59" t="s">
        <v>104</v>
      </c>
      <c r="K84" s="123" t="s">
        <v>104</v>
      </c>
      <c r="L84" s="123" t="s">
        <v>104</v>
      </c>
      <c r="M84" s="121" t="s">
        <v>104</v>
      </c>
      <c r="N84" s="59"/>
      <c r="O84" s="59"/>
      <c r="P84" s="59" t="s">
        <v>104</v>
      </c>
      <c r="Q84" s="59"/>
      <c r="R84" s="121" t="s">
        <v>104</v>
      </c>
      <c r="S84" s="123"/>
      <c r="T84" s="46"/>
      <c r="U84" s="46"/>
    </row>
    <row r="85" spans="1:27">
      <c r="A85" s="528"/>
      <c r="B85" s="529"/>
      <c r="C85" s="63" t="s">
        <v>171</v>
      </c>
      <c r="D85" s="64" t="s">
        <v>101</v>
      </c>
      <c r="E85" s="123"/>
      <c r="F85" s="123"/>
      <c r="G85" s="123">
        <f t="shared" si="19"/>
        <v>0</v>
      </c>
      <c r="H85" s="59"/>
      <c r="I85" s="59"/>
      <c r="J85" s="75">
        <f t="shared" ref="J85:J90" si="20">K85</f>
        <v>69621.41</v>
      </c>
      <c r="K85" s="46">
        <v>69621.41</v>
      </c>
      <c r="L85" s="123" t="s">
        <v>104</v>
      </c>
      <c r="M85" s="121" t="s">
        <v>104</v>
      </c>
      <c r="N85" s="71">
        <f t="shared" ref="N85:N90" si="21">O85</f>
        <v>0</v>
      </c>
      <c r="O85" s="71">
        <f>G85*K85</f>
        <v>0</v>
      </c>
      <c r="P85" s="59" t="s">
        <v>104</v>
      </c>
      <c r="Q85" s="59"/>
      <c r="R85" s="121" t="s">
        <v>104</v>
      </c>
      <c r="S85" s="123"/>
      <c r="T85" s="46">
        <f t="shared" ref="T85:T90" si="22">H85*K85</f>
        <v>0</v>
      </c>
      <c r="U85" s="46">
        <f t="shared" ref="U85:U90" si="23">I85*K85</f>
        <v>0</v>
      </c>
    </row>
    <row r="86" spans="1:27">
      <c r="A86" s="528"/>
      <c r="B86" s="529"/>
      <c r="C86" s="63" t="s">
        <v>164</v>
      </c>
      <c r="D86" s="64" t="s">
        <v>101</v>
      </c>
      <c r="E86" s="123">
        <v>3</v>
      </c>
      <c r="F86" s="123">
        <v>3</v>
      </c>
      <c r="G86" s="123">
        <f t="shared" si="19"/>
        <v>3</v>
      </c>
      <c r="H86" s="59">
        <v>3</v>
      </c>
      <c r="I86" s="59">
        <v>3</v>
      </c>
      <c r="J86" s="75">
        <f t="shared" si="20"/>
        <v>25853.63</v>
      </c>
      <c r="K86" s="46">
        <v>25853.63</v>
      </c>
      <c r="L86" s="123" t="s">
        <v>104</v>
      </c>
      <c r="M86" s="121" t="s">
        <v>104</v>
      </c>
      <c r="N86" s="71">
        <f t="shared" si="21"/>
        <v>77560.89</v>
      </c>
      <c r="O86" s="71">
        <f t="shared" ref="O86:O90" si="24">G86*K86</f>
        <v>77560.89</v>
      </c>
      <c r="P86" s="59" t="s">
        <v>104</v>
      </c>
      <c r="Q86" s="59"/>
      <c r="R86" s="121" t="s">
        <v>104</v>
      </c>
      <c r="S86" s="123"/>
      <c r="T86" s="46">
        <f t="shared" si="22"/>
        <v>77560.89</v>
      </c>
      <c r="U86" s="46">
        <f t="shared" si="23"/>
        <v>77560.89</v>
      </c>
    </row>
    <row r="87" spans="1:27">
      <c r="A87" s="528"/>
      <c r="B87" s="529"/>
      <c r="C87" s="63" t="s">
        <v>169</v>
      </c>
      <c r="D87" s="64" t="s">
        <v>101</v>
      </c>
      <c r="E87" s="123">
        <v>18</v>
      </c>
      <c r="F87" s="123">
        <v>18</v>
      </c>
      <c r="G87" s="123">
        <f t="shared" si="19"/>
        <v>18</v>
      </c>
      <c r="H87" s="59">
        <v>18</v>
      </c>
      <c r="I87" s="59">
        <v>18</v>
      </c>
      <c r="J87" s="75">
        <f t="shared" si="20"/>
        <v>69621.41</v>
      </c>
      <c r="K87" s="46">
        <v>69621.41</v>
      </c>
      <c r="L87" s="123" t="s">
        <v>104</v>
      </c>
      <c r="M87" s="121" t="s">
        <v>104</v>
      </c>
      <c r="N87" s="71">
        <f t="shared" si="21"/>
        <v>1253185.3800000001</v>
      </c>
      <c r="O87" s="71">
        <f t="shared" si="24"/>
        <v>1253185.3800000001</v>
      </c>
      <c r="P87" s="59" t="s">
        <v>104</v>
      </c>
      <c r="Q87" s="59"/>
      <c r="R87" s="121" t="s">
        <v>104</v>
      </c>
      <c r="S87" s="123"/>
      <c r="T87" s="46">
        <f t="shared" si="22"/>
        <v>1253185.3800000001</v>
      </c>
      <c r="U87" s="46">
        <f t="shared" si="23"/>
        <v>1253185.3800000001</v>
      </c>
    </row>
    <row r="88" spans="1:27">
      <c r="A88" s="528"/>
      <c r="B88" s="529"/>
      <c r="C88" s="63" t="s">
        <v>165</v>
      </c>
      <c r="D88" s="64" t="s">
        <v>101</v>
      </c>
      <c r="E88" s="123">
        <v>2</v>
      </c>
      <c r="F88" s="123">
        <v>2</v>
      </c>
      <c r="G88" s="123">
        <f t="shared" si="19"/>
        <v>2</v>
      </c>
      <c r="H88" s="59">
        <v>2</v>
      </c>
      <c r="I88" s="59">
        <v>2</v>
      </c>
      <c r="J88" s="75">
        <f t="shared" si="20"/>
        <v>92730.02</v>
      </c>
      <c r="K88" s="46">
        <v>92730.02</v>
      </c>
      <c r="L88" s="123" t="s">
        <v>104</v>
      </c>
      <c r="M88" s="121" t="s">
        <v>104</v>
      </c>
      <c r="N88" s="71">
        <f t="shared" si="21"/>
        <v>185460.04</v>
      </c>
      <c r="O88" s="71">
        <f t="shared" si="24"/>
        <v>185460.04</v>
      </c>
      <c r="P88" s="59" t="s">
        <v>104</v>
      </c>
      <c r="Q88" s="59"/>
      <c r="R88" s="121" t="s">
        <v>104</v>
      </c>
      <c r="S88" s="123"/>
      <c r="T88" s="46">
        <f t="shared" si="22"/>
        <v>185460.04</v>
      </c>
      <c r="U88" s="46">
        <f t="shared" si="23"/>
        <v>185460.04</v>
      </c>
    </row>
    <row r="89" spans="1:27">
      <c r="A89" s="528"/>
      <c r="B89" s="529"/>
      <c r="C89" s="63" t="s">
        <v>166</v>
      </c>
      <c r="D89" s="64" t="s">
        <v>101</v>
      </c>
      <c r="E89" s="123">
        <v>7</v>
      </c>
      <c r="F89" s="123">
        <v>7</v>
      </c>
      <c r="G89" s="123">
        <f t="shared" si="19"/>
        <v>7</v>
      </c>
      <c r="H89" s="59">
        <v>7</v>
      </c>
      <c r="I89" s="59">
        <v>7</v>
      </c>
      <c r="J89" s="75">
        <f t="shared" si="20"/>
        <v>66620.070000000007</v>
      </c>
      <c r="K89" s="46">
        <v>66620.070000000007</v>
      </c>
      <c r="L89" s="123" t="s">
        <v>104</v>
      </c>
      <c r="M89" s="121" t="s">
        <v>104</v>
      </c>
      <c r="N89" s="71">
        <f t="shared" si="21"/>
        <v>466340.49000000005</v>
      </c>
      <c r="O89" s="71">
        <f t="shared" si="24"/>
        <v>466340.49000000005</v>
      </c>
      <c r="P89" s="59" t="s">
        <v>104</v>
      </c>
      <c r="Q89" s="59"/>
      <c r="R89" s="121" t="s">
        <v>104</v>
      </c>
      <c r="S89" s="123"/>
      <c r="T89" s="46">
        <f t="shared" si="22"/>
        <v>466340.49000000005</v>
      </c>
      <c r="U89" s="46">
        <f t="shared" si="23"/>
        <v>466340.49000000005</v>
      </c>
    </row>
    <row r="90" spans="1:27">
      <c r="A90" s="528"/>
      <c r="B90" s="529"/>
      <c r="C90" s="63" t="s">
        <v>168</v>
      </c>
      <c r="D90" s="64" t="s">
        <v>101</v>
      </c>
      <c r="E90" s="123"/>
      <c r="F90" s="123"/>
      <c r="G90" s="123">
        <f t="shared" si="19"/>
        <v>0</v>
      </c>
      <c r="H90" s="59"/>
      <c r="I90" s="59"/>
      <c r="J90" s="75">
        <f t="shared" si="20"/>
        <v>23817.46</v>
      </c>
      <c r="K90" s="46">
        <v>23817.46</v>
      </c>
      <c r="L90" s="123" t="s">
        <v>104</v>
      </c>
      <c r="M90" s="121" t="s">
        <v>104</v>
      </c>
      <c r="N90" s="71">
        <f t="shared" si="21"/>
        <v>0</v>
      </c>
      <c r="O90" s="71">
        <f t="shared" si="24"/>
        <v>0</v>
      </c>
      <c r="P90" s="59" t="s">
        <v>104</v>
      </c>
      <c r="Q90" s="59"/>
      <c r="R90" s="121" t="s">
        <v>104</v>
      </c>
      <c r="S90" s="123"/>
      <c r="T90" s="46">
        <f t="shared" si="22"/>
        <v>0</v>
      </c>
      <c r="U90" s="46">
        <f t="shared" si="23"/>
        <v>0</v>
      </c>
    </row>
    <row r="91" spans="1:27" ht="84" customHeight="1">
      <c r="A91" s="528"/>
      <c r="B91" s="529"/>
      <c r="C91" s="61" t="s">
        <v>105</v>
      </c>
      <c r="D91" s="64" t="s">
        <v>101</v>
      </c>
      <c r="E91" s="123">
        <v>2</v>
      </c>
      <c r="F91" s="123">
        <v>2</v>
      </c>
      <c r="G91" s="123">
        <f t="shared" si="19"/>
        <v>2</v>
      </c>
      <c r="H91" s="59">
        <v>2</v>
      </c>
      <c r="I91" s="59">
        <v>2</v>
      </c>
      <c r="J91" s="75">
        <f>SUM(K91:M91)</f>
        <v>143232.30000000002</v>
      </c>
      <c r="K91" s="46">
        <f>121669.47+1351.63</f>
        <v>123021.1</v>
      </c>
      <c r="L91" s="209">
        <f>4001.99</f>
        <v>4001.99</v>
      </c>
      <c r="M91" s="443">
        <f>14314.24+1894.97</f>
        <v>16209.21</v>
      </c>
      <c r="N91" s="71">
        <f>SUM(O91:R91)</f>
        <v>286464.60000000003</v>
      </c>
      <c r="O91" s="71">
        <f>G91*K91</f>
        <v>246042.2</v>
      </c>
      <c r="P91" s="71">
        <f>G91*L91</f>
        <v>8003.98</v>
      </c>
      <c r="Q91" s="71"/>
      <c r="R91" s="75">
        <f>G91*M91</f>
        <v>32418.42</v>
      </c>
      <c r="S91" s="46"/>
      <c r="T91" s="46">
        <f>N91</f>
        <v>286464.60000000003</v>
      </c>
      <c r="U91" s="46">
        <f>T91</f>
        <v>286464.60000000003</v>
      </c>
    </row>
    <row r="92" spans="1:27">
      <c r="A92" s="528"/>
      <c r="B92" s="529"/>
      <c r="C92" s="290" t="s">
        <v>106</v>
      </c>
      <c r="D92" s="67"/>
      <c r="E92" s="123">
        <f>E83+E91</f>
        <v>258</v>
      </c>
      <c r="F92" s="123">
        <f>F83+F91</f>
        <v>258</v>
      </c>
      <c r="G92" s="123">
        <f>G83+G91</f>
        <v>258</v>
      </c>
      <c r="H92" s="59">
        <f>H83+H91</f>
        <v>258</v>
      </c>
      <c r="I92" s="59">
        <f>I83+I91</f>
        <v>258</v>
      </c>
      <c r="J92" s="71" t="s">
        <v>104</v>
      </c>
      <c r="K92" s="203" t="s">
        <v>104</v>
      </c>
      <c r="L92" s="203" t="s">
        <v>104</v>
      </c>
      <c r="M92" s="283" t="s">
        <v>104</v>
      </c>
      <c r="N92" s="118">
        <f t="shared" ref="N92:T92" si="25">SUM(N83:N91)</f>
        <v>13783640.52</v>
      </c>
      <c r="O92" s="71">
        <f t="shared" si="25"/>
        <v>8569150.9199999999</v>
      </c>
      <c r="P92" s="71">
        <f t="shared" si="25"/>
        <v>1032513.4199999999</v>
      </c>
      <c r="Q92" s="71"/>
      <c r="R92" s="445">
        <f t="shared" si="25"/>
        <v>4181976.1799999997</v>
      </c>
      <c r="S92" s="203"/>
      <c r="T92" s="203">
        <f t="shared" si="25"/>
        <v>13783640.52</v>
      </c>
      <c r="U92" s="203">
        <f>T92</f>
        <v>13783640.52</v>
      </c>
    </row>
    <row r="93" spans="1:27" ht="82.95" customHeight="1">
      <c r="A93" s="528"/>
      <c r="B93" s="529" t="s">
        <v>238</v>
      </c>
      <c r="C93" s="61" t="s">
        <v>100</v>
      </c>
      <c r="D93" s="62" t="s">
        <v>101</v>
      </c>
      <c r="E93" s="123">
        <v>241</v>
      </c>
      <c r="F93" s="123">
        <v>241</v>
      </c>
      <c r="G93" s="123">
        <f t="shared" si="19"/>
        <v>241</v>
      </c>
      <c r="H93" s="59">
        <v>241</v>
      </c>
      <c r="I93" s="59">
        <v>241</v>
      </c>
      <c r="J93" s="107">
        <f>SUM(K93:M93)</f>
        <v>56551.729999999996</v>
      </c>
      <c r="K93" s="218">
        <f>34640.79+1649.65</f>
        <v>36290.44</v>
      </c>
      <c r="L93" s="209">
        <f>4001.99</f>
        <v>4001.99</v>
      </c>
      <c r="M93" s="443">
        <f>14567.32+1691.98</f>
        <v>16259.3</v>
      </c>
      <c r="N93" s="71">
        <f>SUM(O93:R93)</f>
        <v>13628966.93</v>
      </c>
      <c r="O93" s="71">
        <f>G93*K93</f>
        <v>8745996.040000001</v>
      </c>
      <c r="P93" s="71">
        <f>G93*L93</f>
        <v>964479.59</v>
      </c>
      <c r="Q93" s="71"/>
      <c r="R93" s="75">
        <f>G93*M93</f>
        <v>3918491.3</v>
      </c>
      <c r="S93" s="46"/>
      <c r="T93" s="46">
        <f>N93</f>
        <v>13628966.93</v>
      </c>
      <c r="U93" s="46">
        <f>T93</f>
        <v>13628966.93</v>
      </c>
    </row>
    <row r="94" spans="1:27" ht="82.8">
      <c r="A94" s="528"/>
      <c r="B94" s="529"/>
      <c r="C94" s="63" t="s">
        <v>163</v>
      </c>
      <c r="D94" s="64" t="s">
        <v>101</v>
      </c>
      <c r="E94" s="123" t="s">
        <v>104</v>
      </c>
      <c r="F94" s="123" t="s">
        <v>104</v>
      </c>
      <c r="G94" s="123" t="s">
        <v>104</v>
      </c>
      <c r="H94" s="59" t="s">
        <v>104</v>
      </c>
      <c r="I94" s="59" t="s">
        <v>104</v>
      </c>
      <c r="J94" s="59" t="s">
        <v>104</v>
      </c>
      <c r="K94" s="123" t="s">
        <v>104</v>
      </c>
      <c r="L94" s="123" t="s">
        <v>104</v>
      </c>
      <c r="M94" s="121" t="s">
        <v>104</v>
      </c>
      <c r="N94" s="71"/>
      <c r="O94" s="71"/>
      <c r="P94" s="59" t="s">
        <v>104</v>
      </c>
      <c r="Q94" s="59"/>
      <c r="R94" s="121" t="s">
        <v>104</v>
      </c>
      <c r="S94" s="123"/>
      <c r="T94" s="46"/>
      <c r="U94" s="46"/>
    </row>
    <row r="95" spans="1:27">
      <c r="A95" s="528"/>
      <c r="B95" s="529"/>
      <c r="C95" s="63" t="s">
        <v>171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69621.41</v>
      </c>
      <c r="K95" s="46">
        <v>69621.41</v>
      </c>
      <c r="L95" s="123" t="s">
        <v>104</v>
      </c>
      <c r="M95" s="121" t="s">
        <v>104</v>
      </c>
      <c r="N95" s="71">
        <f>O95</f>
        <v>69621.41</v>
      </c>
      <c r="O95" s="71">
        <f>G95*K95</f>
        <v>69621.41</v>
      </c>
      <c r="P95" s="59" t="s">
        <v>104</v>
      </c>
      <c r="Q95" s="59"/>
      <c r="R95" s="121" t="s">
        <v>104</v>
      </c>
      <c r="S95" s="123"/>
      <c r="T95" s="46">
        <f>H95*K95</f>
        <v>69621.41</v>
      </c>
      <c r="U95" s="46">
        <f>I95*K95</f>
        <v>69621.41</v>
      </c>
    </row>
    <row r="96" spans="1:27">
      <c r="A96" s="528"/>
      <c r="B96" s="529"/>
      <c r="C96" s="63" t="s">
        <v>165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K96</f>
        <v>92730.02</v>
      </c>
      <c r="K96" s="46">
        <v>92730.02</v>
      </c>
      <c r="L96" s="123" t="s">
        <v>104</v>
      </c>
      <c r="M96" s="121" t="s">
        <v>104</v>
      </c>
      <c r="N96" s="71">
        <f>O96</f>
        <v>0</v>
      </c>
      <c r="O96" s="71">
        <f t="shared" ref="O96:O97" si="26">G96*K96</f>
        <v>0</v>
      </c>
      <c r="P96" s="59" t="s">
        <v>104</v>
      </c>
      <c r="Q96" s="59"/>
      <c r="R96" s="121" t="s">
        <v>104</v>
      </c>
      <c r="S96" s="123"/>
      <c r="T96" s="46">
        <f>H96*K96</f>
        <v>0</v>
      </c>
      <c r="U96" s="46">
        <f>I96*K96</f>
        <v>0</v>
      </c>
    </row>
    <row r="97" spans="1:23">
      <c r="A97" s="528"/>
      <c r="B97" s="529"/>
      <c r="C97" s="63" t="s">
        <v>168</v>
      </c>
      <c r="D97" s="64" t="s">
        <v>101</v>
      </c>
      <c r="E97" s="122">
        <v>1</v>
      </c>
      <c r="F97" s="122">
        <v>1</v>
      </c>
      <c r="G97" s="123">
        <f t="shared" si="19"/>
        <v>1</v>
      </c>
      <c r="H97" s="60">
        <v>1</v>
      </c>
      <c r="I97" s="60">
        <v>1</v>
      </c>
      <c r="J97" s="75">
        <f>K97</f>
        <v>23817.46</v>
      </c>
      <c r="K97" s="46">
        <v>23817.46</v>
      </c>
      <c r="L97" s="123" t="s">
        <v>104</v>
      </c>
      <c r="M97" s="121" t="s">
        <v>104</v>
      </c>
      <c r="N97" s="71">
        <f>O97</f>
        <v>23817.46</v>
      </c>
      <c r="O97" s="71">
        <f t="shared" si="26"/>
        <v>23817.46</v>
      </c>
      <c r="P97" s="59" t="s">
        <v>104</v>
      </c>
      <c r="Q97" s="59"/>
      <c r="R97" s="121" t="s">
        <v>104</v>
      </c>
      <c r="S97" s="123"/>
      <c r="T97" s="46">
        <f>H97*K97</f>
        <v>23817.46</v>
      </c>
      <c r="U97" s="46">
        <f>I97*K97</f>
        <v>23817.46</v>
      </c>
    </row>
    <row r="98" spans="1:23" ht="82.8">
      <c r="A98" s="528"/>
      <c r="B98" s="529"/>
      <c r="C98" s="61" t="s">
        <v>105</v>
      </c>
      <c r="D98" s="64" t="s">
        <v>101</v>
      </c>
      <c r="E98" s="122"/>
      <c r="F98" s="122"/>
      <c r="G98" s="123">
        <f t="shared" si="19"/>
        <v>0</v>
      </c>
      <c r="H98" s="60"/>
      <c r="I98" s="60"/>
      <c r="J98" s="75">
        <f>SUM(K98:M98)</f>
        <v>157304.66999999998</v>
      </c>
      <c r="K98" s="46">
        <f>151653.03+1649.65</f>
        <v>153302.68</v>
      </c>
      <c r="L98" s="209">
        <f>4001.99</f>
        <v>4001.99</v>
      </c>
      <c r="M98" s="443">
        <v>0</v>
      </c>
      <c r="N98" s="73">
        <f>SUM(O98:R98)</f>
        <v>0</v>
      </c>
      <c r="O98" s="71">
        <f>G98*K98</f>
        <v>0</v>
      </c>
      <c r="P98" s="73">
        <f>G98*L98</f>
        <v>0</v>
      </c>
      <c r="Q98" s="73"/>
      <c r="R98" s="75">
        <f>G98*M98</f>
        <v>0</v>
      </c>
      <c r="S98" s="46"/>
      <c r="T98" s="46">
        <f>N98</f>
        <v>0</v>
      </c>
      <c r="U98" s="46">
        <f>T98</f>
        <v>0</v>
      </c>
    </row>
    <row r="99" spans="1:23">
      <c r="A99" s="528"/>
      <c r="B99" s="271"/>
      <c r="C99" s="290" t="s">
        <v>106</v>
      </c>
      <c r="D99" s="64"/>
      <c r="E99" s="122">
        <f>E93+E98</f>
        <v>241</v>
      </c>
      <c r="F99" s="122">
        <f>F93+F98</f>
        <v>241</v>
      </c>
      <c r="G99" s="122">
        <f>G93+G98</f>
        <v>241</v>
      </c>
      <c r="H99" s="60">
        <f>H93+H98</f>
        <v>241</v>
      </c>
      <c r="I99" s="60">
        <f>I93+I98</f>
        <v>241</v>
      </c>
      <c r="J99" s="73" t="s">
        <v>104</v>
      </c>
      <c r="K99" s="205" t="s">
        <v>104</v>
      </c>
      <c r="L99" s="185" t="s">
        <v>104</v>
      </c>
      <c r="M99" s="444" t="s">
        <v>104</v>
      </c>
      <c r="N99" s="103">
        <f>SUM(N93:N98)</f>
        <v>13722405.800000001</v>
      </c>
      <c r="O99" s="74">
        <f t="shared" ref="O99:U99" si="27">SUM(O93:O98)</f>
        <v>8839434.910000002</v>
      </c>
      <c r="P99" s="74">
        <f t="shared" si="27"/>
        <v>964479.59</v>
      </c>
      <c r="Q99" s="74"/>
      <c r="R99" s="136">
        <f t="shared" si="27"/>
        <v>3918491.3</v>
      </c>
      <c r="S99" s="185"/>
      <c r="T99" s="185">
        <f t="shared" si="27"/>
        <v>13722405.800000001</v>
      </c>
      <c r="U99" s="185">
        <f t="shared" si="27"/>
        <v>13722405.800000001</v>
      </c>
    </row>
    <row r="100" spans="1:23" ht="82.95" customHeight="1">
      <c r="A100" s="528"/>
      <c r="B100" s="529" t="s">
        <v>239</v>
      </c>
      <c r="C100" s="61" t="s">
        <v>100</v>
      </c>
      <c r="D100" s="62" t="s">
        <v>101</v>
      </c>
      <c r="E100" s="122">
        <v>45</v>
      </c>
      <c r="F100" s="122">
        <v>45</v>
      </c>
      <c r="G100" s="123">
        <f t="shared" si="19"/>
        <v>45</v>
      </c>
      <c r="H100" s="60">
        <v>45</v>
      </c>
      <c r="I100" s="60">
        <v>45</v>
      </c>
      <c r="J100" s="107">
        <f>SUM(K100:M100)</f>
        <v>63623.439999999995</v>
      </c>
      <c r="K100" s="218">
        <f>41398.46+1998.78</f>
        <v>43397.24</v>
      </c>
      <c r="L100" s="209">
        <f>4001.99</f>
        <v>4001.99</v>
      </c>
      <c r="M100" s="443">
        <f>14934.34+1289.87</f>
        <v>16224.21</v>
      </c>
      <c r="N100" s="73">
        <f>SUM(O100:R100)</f>
        <v>2863054.8</v>
      </c>
      <c r="O100" s="73">
        <f>G100*K100</f>
        <v>1952875.7999999998</v>
      </c>
      <c r="P100" s="73">
        <f>G100*L100</f>
        <v>180089.55</v>
      </c>
      <c r="Q100" s="73"/>
      <c r="R100" s="75">
        <f>G100*M100</f>
        <v>730089.45</v>
      </c>
      <c r="S100" s="46"/>
      <c r="T100" s="46">
        <f>N100</f>
        <v>2863054.8</v>
      </c>
      <c r="U100" s="46">
        <f>T100</f>
        <v>2863054.8</v>
      </c>
    </row>
    <row r="101" spans="1:23" ht="82.8">
      <c r="A101" s="528"/>
      <c r="B101" s="529"/>
      <c r="C101" s="63" t="s">
        <v>163</v>
      </c>
      <c r="D101" s="64" t="s">
        <v>101</v>
      </c>
      <c r="E101" s="123" t="s">
        <v>104</v>
      </c>
      <c r="F101" s="123" t="s">
        <v>104</v>
      </c>
      <c r="G101" s="123" t="s">
        <v>104</v>
      </c>
      <c r="H101" s="59" t="s">
        <v>104</v>
      </c>
      <c r="I101" s="59" t="s">
        <v>104</v>
      </c>
      <c r="J101" s="59" t="s">
        <v>104</v>
      </c>
      <c r="K101" s="123" t="s">
        <v>104</v>
      </c>
      <c r="L101" s="123" t="s">
        <v>104</v>
      </c>
      <c r="M101" s="121" t="s">
        <v>104</v>
      </c>
      <c r="N101" s="71"/>
      <c r="O101" s="71"/>
      <c r="P101" s="59" t="s">
        <v>104</v>
      </c>
      <c r="Q101" s="59"/>
      <c r="R101" s="121" t="s">
        <v>104</v>
      </c>
      <c r="S101" s="123"/>
      <c r="T101" s="46"/>
      <c r="U101" s="46"/>
    </row>
    <row r="102" spans="1:23">
      <c r="A102" s="528"/>
      <c r="B102" s="529"/>
      <c r="C102" s="63" t="s">
        <v>165</v>
      </c>
      <c r="D102" s="64" t="s">
        <v>101</v>
      </c>
      <c r="E102" s="122"/>
      <c r="F102" s="122"/>
      <c r="G102" s="123">
        <f t="shared" si="19"/>
        <v>0</v>
      </c>
      <c r="H102" s="60">
        <v>0</v>
      </c>
      <c r="I102" s="60">
        <v>0</v>
      </c>
      <c r="J102" s="75">
        <f>K102</f>
        <v>92730.02</v>
      </c>
      <c r="K102" s="46">
        <v>92730.02</v>
      </c>
      <c r="L102" s="123" t="s">
        <v>104</v>
      </c>
      <c r="M102" s="121" t="s">
        <v>104</v>
      </c>
      <c r="N102" s="71">
        <f>O102</f>
        <v>0</v>
      </c>
      <c r="O102" s="71">
        <f>G102*K102</f>
        <v>0</v>
      </c>
      <c r="P102" s="59" t="s">
        <v>104</v>
      </c>
      <c r="Q102" s="59"/>
      <c r="R102" s="121" t="s">
        <v>104</v>
      </c>
      <c r="S102" s="123"/>
      <c r="T102" s="46">
        <f>H102*K102</f>
        <v>0</v>
      </c>
      <c r="U102" s="46">
        <f>I102*K102</f>
        <v>0</v>
      </c>
      <c r="W102" s="182">
        <v>35580676.469999999</v>
      </c>
    </row>
    <row r="103" spans="1:23" ht="18" customHeight="1">
      <c r="A103" s="528"/>
      <c r="B103" s="529"/>
      <c r="C103" s="63" t="s">
        <v>168</v>
      </c>
      <c r="D103" s="64" t="s">
        <v>101</v>
      </c>
      <c r="E103" s="122">
        <v>1</v>
      </c>
      <c r="F103" s="122">
        <v>1</v>
      </c>
      <c r="G103" s="213">
        <f t="shared" si="19"/>
        <v>1</v>
      </c>
      <c r="H103" s="60">
        <v>1</v>
      </c>
      <c r="I103" s="60">
        <v>1</v>
      </c>
      <c r="J103" s="75">
        <f>K103</f>
        <v>23817.46</v>
      </c>
      <c r="K103" s="46">
        <v>23817.46</v>
      </c>
      <c r="L103" s="123" t="s">
        <v>104</v>
      </c>
      <c r="M103" s="443">
        <f>14934.34+1289.87</f>
        <v>16224.21</v>
      </c>
      <c r="N103" s="71">
        <f>O103</f>
        <v>23817.46</v>
      </c>
      <c r="O103" s="71">
        <f>G103*K103</f>
        <v>23817.46</v>
      </c>
      <c r="P103" s="59" t="s">
        <v>104</v>
      </c>
      <c r="Q103" s="59"/>
      <c r="R103" s="121" t="s">
        <v>104</v>
      </c>
      <c r="S103" s="123"/>
      <c r="T103" s="46">
        <f>H103*K103</f>
        <v>23817.46</v>
      </c>
      <c r="U103" s="46">
        <f>I103*K103</f>
        <v>23817.46</v>
      </c>
    </row>
    <row r="104" spans="1:23" ht="82.8">
      <c r="A104" s="528"/>
      <c r="B104" s="529"/>
      <c r="C104" s="61" t="s">
        <v>105</v>
      </c>
      <c r="D104" s="64" t="s">
        <v>101</v>
      </c>
      <c r="E104" s="122">
        <v>1</v>
      </c>
      <c r="F104" s="122">
        <v>1</v>
      </c>
      <c r="G104" s="123">
        <f t="shared" si="19"/>
        <v>1</v>
      </c>
      <c r="H104" s="60">
        <v>1</v>
      </c>
      <c r="I104" s="60">
        <v>1</v>
      </c>
      <c r="J104" s="75">
        <f>SUM(K104:M104)</f>
        <v>203861.58</v>
      </c>
      <c r="K104" s="46">
        <f>181636.6+1998.78</f>
        <v>183635.38</v>
      </c>
      <c r="L104" s="209">
        <f>4001.99</f>
        <v>4001.99</v>
      </c>
      <c r="M104" s="443">
        <f>14934.34+1289.87</f>
        <v>16224.21</v>
      </c>
      <c r="N104" s="73">
        <f>SUM(O104:R104)</f>
        <v>203861.58</v>
      </c>
      <c r="O104" s="71">
        <f>G104*K104</f>
        <v>183635.38</v>
      </c>
      <c r="P104" s="73">
        <f>G104*L104</f>
        <v>4001.99</v>
      </c>
      <c r="Q104" s="73"/>
      <c r="R104" s="75">
        <f>G104*M104</f>
        <v>16224.21</v>
      </c>
      <c r="S104" s="205"/>
      <c r="T104" s="46">
        <f>H104*J104</f>
        <v>203861.58</v>
      </c>
      <c r="U104" s="46">
        <f>I104*J104</f>
        <v>203861.58</v>
      </c>
    </row>
    <row r="105" spans="1:23">
      <c r="A105" s="528"/>
      <c r="B105" s="271"/>
      <c r="C105" s="290" t="s">
        <v>106</v>
      </c>
      <c r="D105" s="64"/>
      <c r="E105" s="122">
        <f>E100+E104</f>
        <v>46</v>
      </c>
      <c r="F105" s="122">
        <f>F100+F104</f>
        <v>46</v>
      </c>
      <c r="G105" s="122">
        <f>G100+G104</f>
        <v>46</v>
      </c>
      <c r="H105" s="60">
        <f>H100+H104</f>
        <v>46</v>
      </c>
      <c r="I105" s="60">
        <f>I100+I104</f>
        <v>46</v>
      </c>
      <c r="J105" s="73" t="s">
        <v>104</v>
      </c>
      <c r="K105" s="205" t="s">
        <v>104</v>
      </c>
      <c r="L105" s="185" t="s">
        <v>104</v>
      </c>
      <c r="M105" s="444" t="s">
        <v>104</v>
      </c>
      <c r="N105" s="103">
        <f>SUM(N100:N104)</f>
        <v>3090733.84</v>
      </c>
      <c r="O105" s="74">
        <f>SUM(O100:O104)</f>
        <v>2160328.6399999997</v>
      </c>
      <c r="P105" s="74">
        <f t="shared" ref="P105:U105" si="28">SUM(P100:P104)</f>
        <v>184091.53999999998</v>
      </c>
      <c r="Q105" s="74"/>
      <c r="R105" s="136">
        <f t="shared" si="28"/>
        <v>746313.65999999992</v>
      </c>
      <c r="S105" s="185"/>
      <c r="T105" s="185">
        <f t="shared" si="28"/>
        <v>3090733.84</v>
      </c>
      <c r="U105" s="185">
        <f t="shared" si="28"/>
        <v>3090733.84</v>
      </c>
      <c r="W105" s="192">
        <f>T115-W102</f>
        <v>3276075.200000003</v>
      </c>
    </row>
    <row r="106" spans="1:23" ht="100.2" customHeight="1">
      <c r="A106" s="528"/>
      <c r="B106" s="137" t="s">
        <v>240</v>
      </c>
      <c r="C106" s="61" t="s">
        <v>187</v>
      </c>
      <c r="D106" s="64" t="s">
        <v>101</v>
      </c>
      <c r="E106" s="122">
        <v>1487</v>
      </c>
      <c r="F106" s="122">
        <v>1487</v>
      </c>
      <c r="G106" s="123">
        <f t="shared" si="19"/>
        <v>1487</v>
      </c>
      <c r="H106" s="60">
        <v>1487</v>
      </c>
      <c r="I106" s="60">
        <v>1487</v>
      </c>
      <c r="J106" s="75">
        <f>K106</f>
        <v>3978.73</v>
      </c>
      <c r="K106" s="46">
        <v>3978.73</v>
      </c>
      <c r="L106" s="184" t="s">
        <v>104</v>
      </c>
      <c r="M106" s="72" t="s">
        <v>104</v>
      </c>
      <c r="N106" s="73">
        <f>SUM(O106:R106)</f>
        <v>5916371.5099999998</v>
      </c>
      <c r="O106" s="73">
        <f>K106*G106</f>
        <v>5916371.5099999998</v>
      </c>
      <c r="P106" s="73" t="s">
        <v>104</v>
      </c>
      <c r="Q106" s="73"/>
      <c r="R106" s="75" t="s">
        <v>104</v>
      </c>
      <c r="S106" s="205"/>
      <c r="T106" s="46">
        <f>H106*J106</f>
        <v>5916371.5099999998</v>
      </c>
      <c r="U106" s="46">
        <f t="shared" ref="U106:U113" si="29">T106</f>
        <v>5916371.5099999998</v>
      </c>
    </row>
    <row r="107" spans="1:23">
      <c r="A107" s="528"/>
      <c r="B107" s="69"/>
      <c r="C107" s="290" t="s">
        <v>106</v>
      </c>
      <c r="D107" s="69"/>
      <c r="E107" s="122">
        <f>SUM(E106:E106)</f>
        <v>1487</v>
      </c>
      <c r="F107" s="122">
        <f>SUM(F106:F106)</f>
        <v>1487</v>
      </c>
      <c r="G107" s="122">
        <f>SUM(G106:G106)</f>
        <v>1487</v>
      </c>
      <c r="H107" s="60">
        <f>SUM(H106:H106)</f>
        <v>1487</v>
      </c>
      <c r="I107" s="60">
        <f>SUM(I106:I106)</f>
        <v>1487</v>
      </c>
      <c r="J107" s="73" t="s">
        <v>104</v>
      </c>
      <c r="K107" s="205" t="s">
        <v>104</v>
      </c>
      <c r="L107" s="185" t="s">
        <v>104</v>
      </c>
      <c r="M107" s="444">
        <f t="shared" ref="M107:R107" si="30">SUM(M106:M106)</f>
        <v>0</v>
      </c>
      <c r="N107" s="103">
        <f t="shared" si="30"/>
        <v>5916371.5099999998</v>
      </c>
      <c r="O107" s="74">
        <f>SUM(O106:O106)</f>
        <v>5916371.5099999998</v>
      </c>
      <c r="P107" s="74">
        <f t="shared" si="30"/>
        <v>0</v>
      </c>
      <c r="Q107" s="74"/>
      <c r="R107" s="444">
        <f t="shared" si="30"/>
        <v>0</v>
      </c>
      <c r="S107" s="185"/>
      <c r="T107" s="46">
        <f>N107</f>
        <v>5916371.5099999998</v>
      </c>
      <c r="U107" s="46">
        <f t="shared" si="29"/>
        <v>5916371.5099999998</v>
      </c>
    </row>
    <row r="108" spans="1:23" ht="13.95" hidden="1" customHeight="1">
      <c r="A108" s="528"/>
      <c r="B108" s="69" t="s">
        <v>282</v>
      </c>
      <c r="C108" s="181" t="s">
        <v>226</v>
      </c>
      <c r="D108" s="69"/>
      <c r="E108" s="122"/>
      <c r="F108" s="122"/>
      <c r="G108" s="122"/>
      <c r="H108" s="60"/>
      <c r="I108" s="60"/>
      <c r="J108" s="73"/>
      <c r="K108" s="205"/>
      <c r="L108" s="185"/>
      <c r="M108" s="444"/>
      <c r="N108" s="74">
        <f>P108</f>
        <v>0</v>
      </c>
      <c r="O108" s="74"/>
      <c r="P108" s="74"/>
      <c r="Q108" s="74"/>
      <c r="R108" s="444"/>
      <c r="S108" s="185"/>
      <c r="T108" s="46">
        <f>P108</f>
        <v>0</v>
      </c>
      <c r="U108" s="46">
        <f t="shared" si="29"/>
        <v>0</v>
      </c>
    </row>
    <row r="109" spans="1:23" ht="13.95" hidden="1" customHeight="1">
      <c r="A109" s="528"/>
      <c r="B109" s="89" t="s">
        <v>225</v>
      </c>
      <c r="C109" s="181" t="s">
        <v>219</v>
      </c>
      <c r="D109" s="64" t="s">
        <v>101</v>
      </c>
      <c r="E109" s="122">
        <v>12</v>
      </c>
      <c r="F109" s="122">
        <v>12</v>
      </c>
      <c r="G109" s="122">
        <v>12</v>
      </c>
      <c r="H109" s="60">
        <v>12</v>
      </c>
      <c r="I109" s="60">
        <v>12</v>
      </c>
      <c r="J109" s="73"/>
      <c r="K109" s="205"/>
      <c r="L109" s="185"/>
      <c r="M109" s="444"/>
      <c r="N109" s="74">
        <f>S109</f>
        <v>0</v>
      </c>
      <c r="O109" s="74"/>
      <c r="P109" s="74"/>
      <c r="Q109" s="74"/>
      <c r="R109" s="444"/>
      <c r="S109" s="185"/>
      <c r="T109" s="46">
        <f>S109</f>
        <v>0</v>
      </c>
      <c r="U109" s="46">
        <f t="shared" si="29"/>
        <v>0</v>
      </c>
    </row>
    <row r="110" spans="1:23" ht="13.95" hidden="1" customHeight="1">
      <c r="A110" s="528"/>
      <c r="B110" s="89" t="s">
        <v>225</v>
      </c>
      <c r="C110" s="181" t="s">
        <v>226</v>
      </c>
      <c r="D110" s="64" t="s">
        <v>101</v>
      </c>
      <c r="E110" s="122">
        <v>1</v>
      </c>
      <c r="F110" s="122">
        <v>1</v>
      </c>
      <c r="G110" s="122">
        <v>1</v>
      </c>
      <c r="H110" s="60">
        <v>1</v>
      </c>
      <c r="I110" s="60">
        <v>1</v>
      </c>
      <c r="J110" s="73"/>
      <c r="K110" s="205"/>
      <c r="L110" s="185"/>
      <c r="M110" s="444"/>
      <c r="N110" s="74">
        <f>Q110</f>
        <v>0</v>
      </c>
      <c r="O110" s="74"/>
      <c r="P110" s="74"/>
      <c r="Q110" s="74"/>
      <c r="R110" s="444"/>
      <c r="S110" s="185"/>
      <c r="T110" s="46"/>
      <c r="U110" s="46">
        <f t="shared" si="29"/>
        <v>0</v>
      </c>
      <c r="V110" s="192">
        <f>Q110-T110</f>
        <v>0</v>
      </c>
    </row>
    <row r="111" spans="1:23" ht="13.95" hidden="1" customHeight="1">
      <c r="A111" s="528"/>
      <c r="B111" s="89" t="s">
        <v>281</v>
      </c>
      <c r="C111" s="181" t="s">
        <v>219</v>
      </c>
      <c r="D111" s="64"/>
      <c r="E111" s="122"/>
      <c r="F111" s="122"/>
      <c r="G111" s="122"/>
      <c r="H111" s="60"/>
      <c r="I111" s="60"/>
      <c r="J111" s="73"/>
      <c r="K111" s="205"/>
      <c r="L111" s="185"/>
      <c r="M111" s="444"/>
      <c r="N111" s="74">
        <f>O111+P111+Q111+R111+S111</f>
        <v>0</v>
      </c>
      <c r="O111" s="74"/>
      <c r="P111" s="74"/>
      <c r="Q111" s="74"/>
      <c r="R111" s="444"/>
      <c r="S111" s="185"/>
      <c r="T111" s="46"/>
      <c r="U111" s="46"/>
    </row>
    <row r="112" spans="1:23">
      <c r="A112" s="528"/>
      <c r="B112" s="89" t="s">
        <v>288</v>
      </c>
      <c r="C112" s="181" t="s">
        <v>226</v>
      </c>
      <c r="D112" s="64"/>
      <c r="E112" s="122">
        <v>21</v>
      </c>
      <c r="F112" s="122">
        <v>21</v>
      </c>
      <c r="G112" s="122">
        <v>20</v>
      </c>
      <c r="H112" s="60">
        <v>21</v>
      </c>
      <c r="I112" s="60">
        <v>21</v>
      </c>
      <c r="J112" s="73"/>
      <c r="K112" s="205"/>
      <c r="L112" s="185"/>
      <c r="M112" s="444"/>
      <c r="N112" s="74">
        <f>O112</f>
        <v>2460780</v>
      </c>
      <c r="O112" s="74">
        <v>2460780</v>
      </c>
      <c r="P112" s="74"/>
      <c r="Q112" s="74"/>
      <c r="R112" s="444"/>
      <c r="S112" s="185"/>
      <c r="T112" s="46">
        <v>2343600</v>
      </c>
      <c r="U112" s="46">
        <f>T112</f>
        <v>2343600</v>
      </c>
    </row>
    <row r="113" spans="1:27" ht="13.95" hidden="1" customHeight="1">
      <c r="A113" s="528"/>
      <c r="B113" s="89" t="s">
        <v>257</v>
      </c>
      <c r="C113" s="181" t="s">
        <v>226</v>
      </c>
      <c r="D113" s="64"/>
      <c r="E113" s="122"/>
      <c r="F113" s="122"/>
      <c r="G113" s="122"/>
      <c r="H113" s="60"/>
      <c r="I113" s="60"/>
      <c r="J113" s="73"/>
      <c r="K113" s="205"/>
      <c r="L113" s="185"/>
      <c r="M113" s="444"/>
      <c r="N113" s="74">
        <f>O113+P113+Q113+R113+S113</f>
        <v>0</v>
      </c>
      <c r="O113" s="74"/>
      <c r="P113" s="74"/>
      <c r="Q113" s="74"/>
      <c r="R113" s="444"/>
      <c r="S113" s="185"/>
      <c r="T113" s="46">
        <f>O113</f>
        <v>0</v>
      </c>
      <c r="U113" s="46">
        <f t="shared" si="29"/>
        <v>0</v>
      </c>
    </row>
    <row r="114" spans="1:27" ht="13.95" hidden="1" customHeight="1">
      <c r="A114" s="528"/>
      <c r="B114" s="89" t="s">
        <v>289</v>
      </c>
      <c r="C114" s="181" t="s">
        <v>226</v>
      </c>
      <c r="D114" s="64"/>
      <c r="E114" s="122"/>
      <c r="F114" s="122"/>
      <c r="G114" s="122"/>
      <c r="H114" s="60"/>
      <c r="I114" s="60"/>
      <c r="J114" s="73"/>
      <c r="K114" s="205"/>
      <c r="L114" s="185"/>
      <c r="M114" s="444"/>
      <c r="N114" s="74">
        <f>P114</f>
        <v>0</v>
      </c>
      <c r="O114" s="74"/>
      <c r="P114" s="74"/>
      <c r="Q114" s="74"/>
      <c r="R114" s="444"/>
      <c r="S114" s="185"/>
      <c r="T114" s="46"/>
      <c r="U114" s="46">
        <f>T114</f>
        <v>0</v>
      </c>
    </row>
    <row r="115" spans="1:27">
      <c r="A115" s="528"/>
      <c r="B115" s="101" t="s">
        <v>112</v>
      </c>
      <c r="C115" s="101"/>
      <c r="D115" s="69"/>
      <c r="E115" s="212">
        <f>E92+E99+E105</f>
        <v>545</v>
      </c>
      <c r="F115" s="102">
        <f>F92+F99+F105</f>
        <v>545</v>
      </c>
      <c r="G115" s="212">
        <f>G92+G99+G105</f>
        <v>545</v>
      </c>
      <c r="H115" s="102">
        <f>H92+H99+H105</f>
        <v>545</v>
      </c>
      <c r="I115" s="102">
        <f>I92+I99+I105</f>
        <v>545</v>
      </c>
      <c r="J115" s="104"/>
      <c r="K115" s="219"/>
      <c r="L115" s="138"/>
      <c r="M115" s="136"/>
      <c r="N115" s="103">
        <f>SUM(O115:S115)</f>
        <v>38973931.670000002</v>
      </c>
      <c r="O115" s="103">
        <f>O92+O99+O105+O107+O112+O113</f>
        <v>27946065.980000004</v>
      </c>
      <c r="P115" s="103">
        <f>P92+P99+P105+P107+P108+P109+P110+P114</f>
        <v>2181084.5499999998</v>
      </c>
      <c r="Q115" s="103">
        <f>Q92+Q99+Q105+Q107+Q108+Q109+Q110</f>
        <v>0</v>
      </c>
      <c r="R115" s="136">
        <f>R92+R99+R105+R107+R108+R109+R110+R111</f>
        <v>8846781.1399999987</v>
      </c>
      <c r="S115" s="138">
        <f>S92+S99+S105+S107+S108+S109+S110+S111</f>
        <v>0</v>
      </c>
      <c r="T115" s="138">
        <f>T92+T99+T105+T107+T108+T109+T110+T111+T112+T113+T114</f>
        <v>38856751.670000002</v>
      </c>
      <c r="U115" s="138">
        <f>U92+U99+U105+U107+U108+U109+U110+U111+U112+U113+U114</f>
        <v>38856751.670000002</v>
      </c>
      <c r="V115" s="192">
        <v>6249649.4699999997</v>
      </c>
      <c r="W115" s="192">
        <f>V115-R115</f>
        <v>-2597131.669999999</v>
      </c>
      <c r="X115" s="182">
        <f>W115/535</f>
        <v>-4854.4517196261668</v>
      </c>
      <c r="Z115" s="192"/>
      <c r="AA115" s="192"/>
    </row>
    <row r="116" spans="1:27" ht="82.95" customHeight="1">
      <c r="A116" s="528" t="s">
        <v>115</v>
      </c>
      <c r="B116" s="529" t="s">
        <v>237</v>
      </c>
      <c r="C116" s="61" t="s">
        <v>100</v>
      </c>
      <c r="D116" s="62" t="s">
        <v>101</v>
      </c>
      <c r="E116" s="123">
        <v>203</v>
      </c>
      <c r="F116" s="123">
        <v>203</v>
      </c>
      <c r="G116" s="123">
        <f>((E116*8)+(F116*4))/12</f>
        <v>203</v>
      </c>
      <c r="H116" s="59">
        <v>203</v>
      </c>
      <c r="I116" s="59">
        <v>203</v>
      </c>
      <c r="J116" s="107">
        <f>SUM(K116:M116)</f>
        <v>44979.02</v>
      </c>
      <c r="K116" s="218">
        <f>23416.19+1351.63</f>
        <v>24767.82</v>
      </c>
      <c r="L116" s="209">
        <f>4001.99</f>
        <v>4001.99</v>
      </c>
      <c r="M116" s="443">
        <f>14314.24+1894.97</f>
        <v>16209.21</v>
      </c>
      <c r="N116" s="71">
        <f>SUM(O116:R116)</f>
        <v>9130741.0599999987</v>
      </c>
      <c r="O116" s="71">
        <f>G116*K116</f>
        <v>5027867.46</v>
      </c>
      <c r="P116" s="71">
        <f>G116*L116</f>
        <v>812403.97</v>
      </c>
      <c r="Q116" s="71"/>
      <c r="R116" s="75">
        <f>G116*M116</f>
        <v>3290469.63</v>
      </c>
      <c r="S116" s="46"/>
      <c r="T116" s="46">
        <f>N116</f>
        <v>9130741.0599999987</v>
      </c>
      <c r="U116" s="46">
        <f>T116</f>
        <v>9130741.0599999987</v>
      </c>
    </row>
    <row r="117" spans="1:27" ht="82.8">
      <c r="A117" s="528"/>
      <c r="B117" s="529"/>
      <c r="C117" s="63" t="s">
        <v>163</v>
      </c>
      <c r="D117" s="64" t="s">
        <v>101</v>
      </c>
      <c r="E117" s="123" t="s">
        <v>104</v>
      </c>
      <c r="F117" s="123" t="s">
        <v>104</v>
      </c>
      <c r="G117" s="123" t="s">
        <v>104</v>
      </c>
      <c r="H117" s="59" t="s">
        <v>104</v>
      </c>
      <c r="I117" s="59" t="s">
        <v>104</v>
      </c>
      <c r="J117" s="59" t="s">
        <v>104</v>
      </c>
      <c r="K117" s="123" t="s">
        <v>104</v>
      </c>
      <c r="L117" s="123" t="s">
        <v>104</v>
      </c>
      <c r="M117" s="121" t="s">
        <v>104</v>
      </c>
      <c r="N117" s="71"/>
      <c r="O117" s="71"/>
      <c r="P117" s="59" t="s">
        <v>104</v>
      </c>
      <c r="Q117" s="59"/>
      <c r="R117" s="121" t="s">
        <v>104</v>
      </c>
      <c r="S117" s="123"/>
      <c r="T117" s="46"/>
      <c r="U117" s="46"/>
    </row>
    <row r="118" spans="1:27">
      <c r="A118" s="528"/>
      <c r="B118" s="529"/>
      <c r="C118" s="63" t="s">
        <v>164</v>
      </c>
      <c r="D118" s="64" t="s">
        <v>101</v>
      </c>
      <c r="E118" s="123"/>
      <c r="F118" s="123"/>
      <c r="G118" s="123"/>
      <c r="H118" s="59"/>
      <c r="I118" s="59"/>
      <c r="J118" s="75">
        <f t="shared" ref="J118:J124" si="31">K118</f>
        <v>25853.63</v>
      </c>
      <c r="K118" s="203">
        <v>25853.63</v>
      </c>
      <c r="L118" s="123" t="s">
        <v>104</v>
      </c>
      <c r="M118" s="121" t="s">
        <v>104</v>
      </c>
      <c r="N118" s="71">
        <f t="shared" ref="N118:N124" si="32">O118</f>
        <v>0</v>
      </c>
      <c r="O118" s="71">
        <f>G118*K118</f>
        <v>0</v>
      </c>
      <c r="P118" s="59" t="s">
        <v>104</v>
      </c>
      <c r="Q118" s="59"/>
      <c r="R118" s="121" t="s">
        <v>104</v>
      </c>
      <c r="S118" s="123"/>
      <c r="T118" s="46">
        <f t="shared" ref="T118:T124" si="33">H118*K118</f>
        <v>0</v>
      </c>
      <c r="U118" s="46">
        <f t="shared" ref="U118:U124" si="34">I118*K118</f>
        <v>0</v>
      </c>
    </row>
    <row r="119" spans="1:27">
      <c r="A119" s="528"/>
      <c r="B119" s="529"/>
      <c r="C119" s="63" t="s">
        <v>169</v>
      </c>
      <c r="D119" s="64" t="s">
        <v>101</v>
      </c>
      <c r="E119" s="123">
        <v>5</v>
      </c>
      <c r="F119" s="123">
        <v>5</v>
      </c>
      <c r="G119" s="123">
        <f t="shared" ref="G119:G136" si="35">((E119*8)+(F119*4))/12</f>
        <v>5</v>
      </c>
      <c r="H119" s="59">
        <v>5</v>
      </c>
      <c r="I119" s="59">
        <v>5</v>
      </c>
      <c r="J119" s="75">
        <f t="shared" si="31"/>
        <v>69621.41</v>
      </c>
      <c r="K119" s="203">
        <v>69621.41</v>
      </c>
      <c r="L119" s="123" t="s">
        <v>104</v>
      </c>
      <c r="M119" s="121" t="s">
        <v>104</v>
      </c>
      <c r="N119" s="71">
        <f t="shared" si="32"/>
        <v>348107.05000000005</v>
      </c>
      <c r="O119" s="71">
        <f t="shared" ref="O119:O124" si="36">G119*K119</f>
        <v>348107.05000000005</v>
      </c>
      <c r="P119" s="59" t="s">
        <v>104</v>
      </c>
      <c r="Q119" s="59"/>
      <c r="R119" s="121" t="s">
        <v>104</v>
      </c>
      <c r="S119" s="123"/>
      <c r="T119" s="46">
        <f t="shared" si="33"/>
        <v>348107.05000000005</v>
      </c>
      <c r="U119" s="46">
        <f t="shared" si="34"/>
        <v>348107.05000000005</v>
      </c>
    </row>
    <row r="120" spans="1:27">
      <c r="A120" s="528"/>
      <c r="B120" s="529"/>
      <c r="C120" s="63" t="s">
        <v>165</v>
      </c>
      <c r="D120" s="64" t="s">
        <v>101</v>
      </c>
      <c r="E120" s="123">
        <v>4</v>
      </c>
      <c r="F120" s="123">
        <v>4</v>
      </c>
      <c r="G120" s="123">
        <f t="shared" si="35"/>
        <v>4</v>
      </c>
      <c r="H120" s="59">
        <v>4</v>
      </c>
      <c r="I120" s="59">
        <v>4</v>
      </c>
      <c r="J120" s="75">
        <f t="shared" si="31"/>
        <v>92730.02</v>
      </c>
      <c r="K120" s="203">
        <v>92730.02</v>
      </c>
      <c r="L120" s="123" t="s">
        <v>104</v>
      </c>
      <c r="M120" s="121" t="s">
        <v>104</v>
      </c>
      <c r="N120" s="71">
        <f t="shared" si="32"/>
        <v>370920.08</v>
      </c>
      <c r="O120" s="71">
        <f t="shared" si="36"/>
        <v>370920.08</v>
      </c>
      <c r="P120" s="59" t="s">
        <v>104</v>
      </c>
      <c r="Q120" s="59"/>
      <c r="R120" s="121" t="s">
        <v>104</v>
      </c>
      <c r="S120" s="123"/>
      <c r="T120" s="46">
        <f t="shared" si="33"/>
        <v>370920.08</v>
      </c>
      <c r="U120" s="46">
        <f t="shared" si="34"/>
        <v>370920.08</v>
      </c>
    </row>
    <row r="121" spans="1:27">
      <c r="A121" s="528"/>
      <c r="B121" s="529"/>
      <c r="C121" s="63" t="s">
        <v>166</v>
      </c>
      <c r="D121" s="64" t="s">
        <v>101</v>
      </c>
      <c r="E121" s="123">
        <v>16</v>
      </c>
      <c r="F121" s="123">
        <v>16</v>
      </c>
      <c r="G121" s="123">
        <f t="shared" si="35"/>
        <v>16</v>
      </c>
      <c r="H121" s="59">
        <v>16</v>
      </c>
      <c r="I121" s="59">
        <v>16</v>
      </c>
      <c r="J121" s="75">
        <f t="shared" si="31"/>
        <v>66620.070000000007</v>
      </c>
      <c r="K121" s="46">
        <v>66620.070000000007</v>
      </c>
      <c r="L121" s="123" t="s">
        <v>104</v>
      </c>
      <c r="M121" s="121" t="s">
        <v>104</v>
      </c>
      <c r="N121" s="71">
        <f t="shared" si="32"/>
        <v>1065921.1200000001</v>
      </c>
      <c r="O121" s="71">
        <f t="shared" si="36"/>
        <v>1065921.1200000001</v>
      </c>
      <c r="P121" s="59" t="s">
        <v>104</v>
      </c>
      <c r="Q121" s="59"/>
      <c r="R121" s="121" t="s">
        <v>104</v>
      </c>
      <c r="S121" s="123"/>
      <c r="T121" s="46">
        <f t="shared" si="33"/>
        <v>1065921.1200000001</v>
      </c>
      <c r="U121" s="46">
        <f t="shared" si="34"/>
        <v>1065921.1200000001</v>
      </c>
    </row>
    <row r="122" spans="1:27">
      <c r="A122" s="528"/>
      <c r="B122" s="529"/>
      <c r="C122" s="63" t="s">
        <v>167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175131.65</v>
      </c>
      <c r="K122" s="46">
        <v>175131.65</v>
      </c>
      <c r="L122" s="123" t="s">
        <v>104</v>
      </c>
      <c r="M122" s="121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121" t="s">
        <v>104</v>
      </c>
      <c r="S122" s="123"/>
      <c r="T122" s="46">
        <f t="shared" si="33"/>
        <v>0</v>
      </c>
      <c r="U122" s="46">
        <f t="shared" si="34"/>
        <v>0</v>
      </c>
    </row>
    <row r="123" spans="1:27">
      <c r="A123" s="528"/>
      <c r="B123" s="529"/>
      <c r="C123" s="63" t="s">
        <v>170</v>
      </c>
      <c r="D123" s="64" t="s">
        <v>101</v>
      </c>
      <c r="E123" s="123">
        <v>1</v>
      </c>
      <c r="F123" s="123">
        <v>1</v>
      </c>
      <c r="G123" s="123">
        <f t="shared" si="35"/>
        <v>1</v>
      </c>
      <c r="H123" s="59">
        <v>1</v>
      </c>
      <c r="I123" s="59">
        <v>1</v>
      </c>
      <c r="J123" s="75">
        <f t="shared" si="31"/>
        <v>99909.59</v>
      </c>
      <c r="K123" s="46">
        <v>99909.59</v>
      </c>
      <c r="L123" s="123" t="s">
        <v>104</v>
      </c>
      <c r="M123" s="121" t="s">
        <v>104</v>
      </c>
      <c r="N123" s="71">
        <f t="shared" si="32"/>
        <v>99909.59</v>
      </c>
      <c r="O123" s="71">
        <f t="shared" si="36"/>
        <v>99909.59</v>
      </c>
      <c r="P123" s="59" t="s">
        <v>104</v>
      </c>
      <c r="Q123" s="59"/>
      <c r="R123" s="121" t="s">
        <v>104</v>
      </c>
      <c r="S123" s="123"/>
      <c r="T123" s="46">
        <f t="shared" si="33"/>
        <v>99909.59</v>
      </c>
      <c r="U123" s="46">
        <f t="shared" si="34"/>
        <v>99909.59</v>
      </c>
    </row>
    <row r="124" spans="1:27">
      <c r="A124" s="528"/>
      <c r="B124" s="529"/>
      <c r="C124" s="63" t="s">
        <v>168</v>
      </c>
      <c r="D124" s="64" t="s">
        <v>101</v>
      </c>
      <c r="E124" s="123"/>
      <c r="F124" s="123"/>
      <c r="G124" s="123">
        <f t="shared" si="35"/>
        <v>0</v>
      </c>
      <c r="H124" s="59"/>
      <c r="I124" s="59"/>
      <c r="J124" s="75">
        <f t="shared" si="31"/>
        <v>23817.46</v>
      </c>
      <c r="K124" s="46">
        <v>23817.46</v>
      </c>
      <c r="L124" s="123" t="s">
        <v>104</v>
      </c>
      <c r="M124" s="121" t="s">
        <v>104</v>
      </c>
      <c r="N124" s="71">
        <f t="shared" si="32"/>
        <v>0</v>
      </c>
      <c r="O124" s="71">
        <f t="shared" si="36"/>
        <v>0</v>
      </c>
      <c r="P124" s="59" t="s">
        <v>104</v>
      </c>
      <c r="Q124" s="59"/>
      <c r="R124" s="121" t="s">
        <v>104</v>
      </c>
      <c r="S124" s="123"/>
      <c r="T124" s="46">
        <f t="shared" si="33"/>
        <v>0</v>
      </c>
      <c r="U124" s="46">
        <f t="shared" si="34"/>
        <v>0</v>
      </c>
    </row>
    <row r="125" spans="1:27" ht="85.2" customHeight="1">
      <c r="A125" s="528"/>
      <c r="B125" s="529"/>
      <c r="C125" s="61" t="s">
        <v>105</v>
      </c>
      <c r="D125" s="64" t="s">
        <v>101</v>
      </c>
      <c r="E125" s="123">
        <v>3</v>
      </c>
      <c r="F125" s="123">
        <v>3</v>
      </c>
      <c r="G125" s="123">
        <f t="shared" si="35"/>
        <v>3</v>
      </c>
      <c r="H125" s="59">
        <v>3</v>
      </c>
      <c r="I125" s="59">
        <v>3</v>
      </c>
      <c r="J125" s="75">
        <f>SUM(K125:M125)</f>
        <v>143232.30000000002</v>
      </c>
      <c r="K125" s="46">
        <f>121669.47+1351.63</f>
        <v>123021.1</v>
      </c>
      <c r="L125" s="209">
        <f>4001.99</f>
        <v>4001.99</v>
      </c>
      <c r="M125" s="443">
        <f>14314.24+1894.97</f>
        <v>16209.21</v>
      </c>
      <c r="N125" s="71">
        <f>SUM(O125:R125)</f>
        <v>429696.9</v>
      </c>
      <c r="O125" s="71">
        <f>G125*K125</f>
        <v>369063.30000000005</v>
      </c>
      <c r="P125" s="71">
        <f>G125*L125</f>
        <v>12005.97</v>
      </c>
      <c r="Q125" s="71"/>
      <c r="R125" s="75">
        <f>G125*M125</f>
        <v>48627.63</v>
      </c>
      <c r="S125" s="46"/>
      <c r="T125" s="46">
        <f>N125</f>
        <v>429696.9</v>
      </c>
      <c r="U125" s="46">
        <f>T125</f>
        <v>429696.9</v>
      </c>
    </row>
    <row r="126" spans="1:27">
      <c r="A126" s="528"/>
      <c r="B126" s="529"/>
      <c r="C126" s="290" t="s">
        <v>106</v>
      </c>
      <c r="D126" s="67"/>
      <c r="E126" s="123">
        <f>E116+E125</f>
        <v>206</v>
      </c>
      <c r="F126" s="123">
        <f>F116+F125</f>
        <v>206</v>
      </c>
      <c r="G126" s="123">
        <f>G116+G125</f>
        <v>206</v>
      </c>
      <c r="H126" s="59">
        <f>H116+H125</f>
        <v>206</v>
      </c>
      <c r="I126" s="59">
        <f>I116+I125</f>
        <v>206</v>
      </c>
      <c r="J126" s="71" t="s">
        <v>104</v>
      </c>
      <c r="K126" s="203" t="s">
        <v>104</v>
      </c>
      <c r="L126" s="203" t="s">
        <v>104</v>
      </c>
      <c r="M126" s="283" t="s">
        <v>104</v>
      </c>
      <c r="N126" s="118">
        <f>SUM(N116:N125)</f>
        <v>11445295.799999999</v>
      </c>
      <c r="O126" s="71">
        <f>SUM(O116:O125)</f>
        <v>7281788.5999999996</v>
      </c>
      <c r="P126" s="71">
        <f>SUM(P116:P125)</f>
        <v>824409.94</v>
      </c>
      <c r="Q126" s="71"/>
      <c r="R126" s="445">
        <f>SUM(R116:R125)</f>
        <v>3339097.26</v>
      </c>
      <c r="S126" s="203"/>
      <c r="T126" s="203">
        <f>SUM(T116:T125)</f>
        <v>11445295.799999999</v>
      </c>
      <c r="U126" s="203">
        <f>T126</f>
        <v>11445295.799999999</v>
      </c>
    </row>
    <row r="127" spans="1:27" ht="82.95" customHeight="1">
      <c r="A127" s="528"/>
      <c r="B127" s="529" t="s">
        <v>238</v>
      </c>
      <c r="C127" s="61" t="s">
        <v>100</v>
      </c>
      <c r="D127" s="62" t="s">
        <v>101</v>
      </c>
      <c r="E127" s="123">
        <v>242</v>
      </c>
      <c r="F127" s="123">
        <v>242</v>
      </c>
      <c r="G127" s="123">
        <f t="shared" si="35"/>
        <v>242</v>
      </c>
      <c r="H127" s="59">
        <v>242</v>
      </c>
      <c r="I127" s="59">
        <v>242</v>
      </c>
      <c r="J127" s="107">
        <f>SUM(K127:M127)</f>
        <v>56551.729999999996</v>
      </c>
      <c r="K127" s="218">
        <f>34640.79+1649.65</f>
        <v>36290.44</v>
      </c>
      <c r="L127" s="209">
        <f>4001.99</f>
        <v>4001.99</v>
      </c>
      <c r="M127" s="443">
        <f>14567.32+1691.98</f>
        <v>16259.3</v>
      </c>
      <c r="N127" s="71">
        <f>SUM(O127:R127)</f>
        <v>13685518.66</v>
      </c>
      <c r="O127" s="71">
        <f>G127*K127</f>
        <v>8782286.4800000004</v>
      </c>
      <c r="P127" s="71">
        <f>G127*L127</f>
        <v>968481.58</v>
      </c>
      <c r="Q127" s="71"/>
      <c r="R127" s="75">
        <f>G127*M127</f>
        <v>3934750.5999999996</v>
      </c>
      <c r="S127" s="46"/>
      <c r="T127" s="46">
        <f>N127</f>
        <v>13685518.66</v>
      </c>
      <c r="U127" s="46">
        <f>T127</f>
        <v>13685518.66</v>
      </c>
    </row>
    <row r="128" spans="1:27" ht="82.8">
      <c r="A128" s="528"/>
      <c r="B128" s="529"/>
      <c r="C128" s="63" t="s">
        <v>163</v>
      </c>
      <c r="D128" s="64" t="s">
        <v>101</v>
      </c>
      <c r="E128" s="123" t="s">
        <v>104</v>
      </c>
      <c r="F128" s="123" t="s">
        <v>104</v>
      </c>
      <c r="G128" s="123" t="s">
        <v>104</v>
      </c>
      <c r="H128" s="59" t="s">
        <v>104</v>
      </c>
      <c r="I128" s="59" t="s">
        <v>104</v>
      </c>
      <c r="J128" s="59" t="s">
        <v>104</v>
      </c>
      <c r="K128" s="123" t="s">
        <v>104</v>
      </c>
      <c r="L128" s="123" t="s">
        <v>104</v>
      </c>
      <c r="M128" s="121" t="s">
        <v>104</v>
      </c>
      <c r="N128" s="71"/>
      <c r="O128" s="71"/>
      <c r="P128" s="59" t="s">
        <v>104</v>
      </c>
      <c r="Q128" s="59"/>
      <c r="R128" s="121" t="s">
        <v>104</v>
      </c>
      <c r="S128" s="123"/>
      <c r="T128" s="46"/>
      <c r="U128" s="46"/>
    </row>
    <row r="129" spans="1:23">
      <c r="A129" s="528"/>
      <c r="B129" s="529"/>
      <c r="C129" s="63" t="s">
        <v>164</v>
      </c>
      <c r="D129" s="64" t="s">
        <v>101</v>
      </c>
      <c r="E129" s="122"/>
      <c r="F129" s="122"/>
      <c r="G129" s="123">
        <f t="shared" si="35"/>
        <v>0</v>
      </c>
      <c r="H129" s="60"/>
      <c r="I129" s="60"/>
      <c r="J129" s="75">
        <f>K129</f>
        <v>25853.63</v>
      </c>
      <c r="K129" s="46">
        <v>25853.63</v>
      </c>
      <c r="L129" s="123" t="s">
        <v>104</v>
      </c>
      <c r="M129" s="121" t="s">
        <v>104</v>
      </c>
      <c r="N129" s="71">
        <f>O129</f>
        <v>0</v>
      </c>
      <c r="O129" s="71">
        <f>G129*K129</f>
        <v>0</v>
      </c>
      <c r="P129" s="59" t="s">
        <v>104</v>
      </c>
      <c r="Q129" s="59"/>
      <c r="R129" s="121" t="s">
        <v>104</v>
      </c>
      <c r="S129" s="123"/>
      <c r="T129" s="46">
        <f>H129*K129</f>
        <v>0</v>
      </c>
      <c r="U129" s="46">
        <f>I129*K129</f>
        <v>0</v>
      </c>
    </row>
    <row r="130" spans="1:23">
      <c r="A130" s="528"/>
      <c r="B130" s="529"/>
      <c r="C130" s="63" t="s">
        <v>165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92730.02</v>
      </c>
      <c r="K130" s="46">
        <v>92730.02</v>
      </c>
      <c r="L130" s="123" t="s">
        <v>104</v>
      </c>
      <c r="M130" s="121" t="s">
        <v>104</v>
      </c>
      <c r="N130" s="71">
        <f>O130</f>
        <v>0</v>
      </c>
      <c r="O130" s="71">
        <f t="shared" ref="O130:O133" si="37">G130*K130</f>
        <v>0</v>
      </c>
      <c r="P130" s="59" t="s">
        <v>104</v>
      </c>
      <c r="Q130" s="59"/>
      <c r="R130" s="121" t="s">
        <v>104</v>
      </c>
      <c r="S130" s="123"/>
      <c r="T130" s="46">
        <f>H130*K130</f>
        <v>0</v>
      </c>
      <c r="U130" s="46">
        <f>I130*K130</f>
        <v>0</v>
      </c>
    </row>
    <row r="131" spans="1:23">
      <c r="A131" s="528"/>
      <c r="B131" s="529"/>
      <c r="C131" s="63" t="s">
        <v>167</v>
      </c>
      <c r="D131" s="64" t="s">
        <v>101</v>
      </c>
      <c r="E131" s="122">
        <v>2</v>
      </c>
      <c r="F131" s="122">
        <v>2</v>
      </c>
      <c r="G131" s="123">
        <f t="shared" si="35"/>
        <v>2</v>
      </c>
      <c r="H131" s="60">
        <v>2</v>
      </c>
      <c r="I131" s="60">
        <v>2</v>
      </c>
      <c r="J131" s="75">
        <f>K131</f>
        <v>264942.27</v>
      </c>
      <c r="K131" s="46">
        <v>264942.27</v>
      </c>
      <c r="L131" s="123" t="s">
        <v>104</v>
      </c>
      <c r="M131" s="121" t="s">
        <v>104</v>
      </c>
      <c r="N131" s="71">
        <f>O131</f>
        <v>529884.54</v>
      </c>
      <c r="O131" s="71">
        <f t="shared" si="37"/>
        <v>529884.54</v>
      </c>
      <c r="P131" s="59" t="s">
        <v>104</v>
      </c>
      <c r="Q131" s="59"/>
      <c r="R131" s="121"/>
      <c r="S131" s="123"/>
      <c r="T131" s="46">
        <f>H131*K131</f>
        <v>529884.54</v>
      </c>
      <c r="U131" s="46">
        <f>I131*K131</f>
        <v>529884.54</v>
      </c>
    </row>
    <row r="132" spans="1:23">
      <c r="A132" s="528"/>
      <c r="B132" s="529"/>
      <c r="C132" s="63" t="s">
        <v>170</v>
      </c>
      <c r="D132" s="64" t="s">
        <v>101</v>
      </c>
      <c r="E132" s="122"/>
      <c r="F132" s="122"/>
      <c r="G132" s="123">
        <f t="shared" si="35"/>
        <v>0</v>
      </c>
      <c r="H132" s="60"/>
      <c r="I132" s="60"/>
      <c r="J132" s="75">
        <f>K132</f>
        <v>33033.199999999997</v>
      </c>
      <c r="K132" s="46">
        <v>33033.199999999997</v>
      </c>
      <c r="L132" s="123" t="s">
        <v>104</v>
      </c>
      <c r="M132" s="121" t="s">
        <v>104</v>
      </c>
      <c r="N132" s="71">
        <f>O132</f>
        <v>0</v>
      </c>
      <c r="O132" s="71">
        <f t="shared" si="37"/>
        <v>0</v>
      </c>
      <c r="P132" s="59" t="s">
        <v>104</v>
      </c>
      <c r="Q132" s="59"/>
      <c r="R132" s="121"/>
      <c r="S132" s="123"/>
      <c r="T132" s="46">
        <f>H132*K132</f>
        <v>0</v>
      </c>
      <c r="U132" s="46">
        <f>I132*K132</f>
        <v>0</v>
      </c>
    </row>
    <row r="133" spans="1:23">
      <c r="A133" s="528"/>
      <c r="B133" s="529"/>
      <c r="C133" s="63" t="s">
        <v>168</v>
      </c>
      <c r="D133" s="64" t="s">
        <v>101</v>
      </c>
      <c r="E133" s="122">
        <v>1</v>
      </c>
      <c r="F133" s="122">
        <v>1</v>
      </c>
      <c r="G133" s="123">
        <f t="shared" si="35"/>
        <v>1</v>
      </c>
      <c r="H133" s="60">
        <v>1</v>
      </c>
      <c r="I133" s="60">
        <v>1</v>
      </c>
      <c r="J133" s="75">
        <f>K133</f>
        <v>23817.46</v>
      </c>
      <c r="K133" s="46">
        <v>23817.46</v>
      </c>
      <c r="L133" s="123" t="s">
        <v>104</v>
      </c>
      <c r="M133" s="121" t="s">
        <v>104</v>
      </c>
      <c r="N133" s="71">
        <f>O133</f>
        <v>23817.46</v>
      </c>
      <c r="O133" s="71">
        <f t="shared" si="37"/>
        <v>23817.46</v>
      </c>
      <c r="P133" s="59" t="s">
        <v>104</v>
      </c>
      <c r="Q133" s="59"/>
      <c r="R133" s="121" t="s">
        <v>104</v>
      </c>
      <c r="S133" s="123"/>
      <c r="T133" s="46">
        <f>H133*K133</f>
        <v>23817.46</v>
      </c>
      <c r="U133" s="46">
        <f>I133*K133</f>
        <v>23817.46</v>
      </c>
    </row>
    <row r="134" spans="1:23" ht="82.8">
      <c r="A134" s="528"/>
      <c r="B134" s="529"/>
      <c r="C134" s="61" t="s">
        <v>105</v>
      </c>
      <c r="D134" s="64" t="s">
        <v>101</v>
      </c>
      <c r="E134" s="122">
        <v>3</v>
      </c>
      <c r="F134" s="122">
        <v>3</v>
      </c>
      <c r="G134" s="123">
        <f t="shared" si="35"/>
        <v>3</v>
      </c>
      <c r="H134" s="60">
        <v>3</v>
      </c>
      <c r="I134" s="60">
        <v>3</v>
      </c>
      <c r="J134" s="75">
        <f>SUM(K134:M134)</f>
        <v>173563.96999999997</v>
      </c>
      <c r="K134" s="46">
        <f>151653.03+1649.65</f>
        <v>153302.68</v>
      </c>
      <c r="L134" s="209">
        <f>4001.99</f>
        <v>4001.99</v>
      </c>
      <c r="M134" s="443">
        <f>14567.32+1691.98</f>
        <v>16259.3</v>
      </c>
      <c r="N134" s="73">
        <f>SUM(O134:R134)</f>
        <v>520691.90999999992</v>
      </c>
      <c r="O134" s="71">
        <f>G134*K134</f>
        <v>459908.04</v>
      </c>
      <c r="P134" s="73">
        <f>G134*L134</f>
        <v>12005.97</v>
      </c>
      <c r="Q134" s="73"/>
      <c r="R134" s="75">
        <f>G134*M134</f>
        <v>48777.899999999994</v>
      </c>
      <c r="S134" s="46"/>
      <c r="T134" s="46">
        <f>N134</f>
        <v>520691.90999999992</v>
      </c>
      <c r="U134" s="46">
        <f>T134</f>
        <v>520691.90999999992</v>
      </c>
    </row>
    <row r="135" spans="1:23">
      <c r="A135" s="528"/>
      <c r="B135" s="271"/>
      <c r="C135" s="290" t="s">
        <v>106</v>
      </c>
      <c r="D135" s="64"/>
      <c r="E135" s="122">
        <f>E127+E134</f>
        <v>245</v>
      </c>
      <c r="F135" s="122">
        <f>F127+F134</f>
        <v>245</v>
      </c>
      <c r="G135" s="122">
        <f>G127+G134</f>
        <v>245</v>
      </c>
      <c r="H135" s="60">
        <f>H127+H134</f>
        <v>245</v>
      </c>
      <c r="I135" s="60">
        <f>I127+I134</f>
        <v>245</v>
      </c>
      <c r="J135" s="73" t="s">
        <v>104</v>
      </c>
      <c r="K135" s="205" t="s">
        <v>104</v>
      </c>
      <c r="L135" s="205" t="s">
        <v>104</v>
      </c>
      <c r="M135" s="75" t="s">
        <v>104</v>
      </c>
      <c r="N135" s="103">
        <f>SUM(N127:N134)</f>
        <v>14759912.57</v>
      </c>
      <c r="O135" s="74">
        <f>SUM(O127:O134)</f>
        <v>9795896.5199999996</v>
      </c>
      <c r="P135" s="74">
        <f>SUM(P127:P134)</f>
        <v>980487.54999999993</v>
      </c>
      <c r="Q135" s="74"/>
      <c r="R135" s="136">
        <f>SUM(R127:R134)</f>
        <v>3983528.4999999995</v>
      </c>
      <c r="S135" s="185"/>
      <c r="T135" s="185">
        <f>SUM(T127:T134)</f>
        <v>14759912.57</v>
      </c>
      <c r="U135" s="185">
        <f>SUM(U127:U134)</f>
        <v>14759912.57</v>
      </c>
    </row>
    <row r="136" spans="1:23" ht="82.95" customHeight="1">
      <c r="A136" s="528"/>
      <c r="B136" s="529" t="s">
        <v>239</v>
      </c>
      <c r="C136" s="61" t="s">
        <v>100</v>
      </c>
      <c r="D136" s="62" t="s">
        <v>101</v>
      </c>
      <c r="E136" s="122">
        <v>28</v>
      </c>
      <c r="F136" s="122">
        <v>28</v>
      </c>
      <c r="G136" s="123">
        <f t="shared" si="35"/>
        <v>28</v>
      </c>
      <c r="H136" s="60">
        <v>28</v>
      </c>
      <c r="I136" s="60">
        <v>28</v>
      </c>
      <c r="J136" s="107">
        <f>SUM(K136:M136)</f>
        <v>63623.439999999995</v>
      </c>
      <c r="K136" s="218">
        <f>41398.46+1998.78</f>
        <v>43397.24</v>
      </c>
      <c r="L136" s="209">
        <f>4001.99</f>
        <v>4001.99</v>
      </c>
      <c r="M136" s="443">
        <f>14934.34+1289.87</f>
        <v>16224.21</v>
      </c>
      <c r="N136" s="73">
        <f>SUM(O136:R136)</f>
        <v>1781456.3199999998</v>
      </c>
      <c r="O136" s="73">
        <f>G136*K136</f>
        <v>1215122.72</v>
      </c>
      <c r="P136" s="73">
        <f>G136*L136</f>
        <v>112055.72</v>
      </c>
      <c r="Q136" s="73"/>
      <c r="R136" s="75">
        <f>G136*M136</f>
        <v>454277.88</v>
      </c>
      <c r="S136" s="46"/>
      <c r="T136" s="46">
        <f>N136</f>
        <v>1781456.3199999998</v>
      </c>
      <c r="U136" s="46">
        <f>T136</f>
        <v>1781456.3199999998</v>
      </c>
    </row>
    <row r="137" spans="1:23" ht="82.8">
      <c r="A137" s="528"/>
      <c r="B137" s="529"/>
      <c r="C137" s="63" t="s">
        <v>163</v>
      </c>
      <c r="D137" s="64" t="s">
        <v>101</v>
      </c>
      <c r="E137" s="123" t="s">
        <v>104</v>
      </c>
      <c r="F137" s="123" t="s">
        <v>104</v>
      </c>
      <c r="G137" s="123" t="s">
        <v>104</v>
      </c>
      <c r="H137" s="59" t="s">
        <v>104</v>
      </c>
      <c r="I137" s="59" t="s">
        <v>104</v>
      </c>
      <c r="J137" s="59" t="s">
        <v>104</v>
      </c>
      <c r="K137" s="123" t="s">
        <v>104</v>
      </c>
      <c r="L137" s="123" t="s">
        <v>104</v>
      </c>
      <c r="M137" s="121" t="s">
        <v>104</v>
      </c>
      <c r="N137" s="71"/>
      <c r="O137" s="71"/>
      <c r="P137" s="59" t="s">
        <v>104</v>
      </c>
      <c r="Q137" s="59"/>
      <c r="R137" s="121" t="s">
        <v>104</v>
      </c>
      <c r="S137" s="123"/>
      <c r="T137" s="46"/>
      <c r="U137" s="46"/>
    </row>
    <row r="138" spans="1:23">
      <c r="A138" s="528"/>
      <c r="B138" s="529"/>
      <c r="C138" s="63" t="s">
        <v>165</v>
      </c>
      <c r="D138" s="64" t="s">
        <v>101</v>
      </c>
      <c r="E138" s="122">
        <v>1</v>
      </c>
      <c r="F138" s="122">
        <v>1</v>
      </c>
      <c r="G138" s="123">
        <f>((E138*8)+(F138*4))/12</f>
        <v>1</v>
      </c>
      <c r="H138" s="60">
        <v>1</v>
      </c>
      <c r="I138" s="60">
        <v>1</v>
      </c>
      <c r="J138" s="75">
        <f>K138</f>
        <v>92730.02</v>
      </c>
      <c r="K138" s="46">
        <v>92730.02</v>
      </c>
      <c r="L138" s="123" t="s">
        <v>104</v>
      </c>
      <c r="M138" s="121" t="s">
        <v>104</v>
      </c>
      <c r="N138" s="71">
        <f>O138</f>
        <v>92730.02</v>
      </c>
      <c r="O138" s="71">
        <f>G138*K138</f>
        <v>92730.02</v>
      </c>
      <c r="P138" s="59" t="s">
        <v>104</v>
      </c>
      <c r="Q138" s="59"/>
      <c r="R138" s="121" t="s">
        <v>104</v>
      </c>
      <c r="S138" s="123"/>
      <c r="T138" s="46">
        <f>H138*K138</f>
        <v>92730.02</v>
      </c>
      <c r="U138" s="46">
        <f>I138*K138</f>
        <v>92730.02</v>
      </c>
    </row>
    <row r="139" spans="1:23" ht="82.8">
      <c r="A139" s="528"/>
      <c r="B139" s="529"/>
      <c r="C139" s="61" t="s">
        <v>105</v>
      </c>
      <c r="D139" s="64" t="s">
        <v>101</v>
      </c>
      <c r="E139" s="122"/>
      <c r="F139" s="122">
        <v>0</v>
      </c>
      <c r="G139" s="211">
        <f>((E139*8)+(F139*4))/12</f>
        <v>0</v>
      </c>
      <c r="H139" s="60">
        <v>0</v>
      </c>
      <c r="I139" s="60">
        <v>0</v>
      </c>
      <c r="J139" s="75">
        <f>SUM(K139:M139)</f>
        <v>187637.37</v>
      </c>
      <c r="K139" s="46">
        <f>181636.6+1998.78</f>
        <v>183635.38</v>
      </c>
      <c r="L139" s="209">
        <f>4001.99</f>
        <v>4001.99</v>
      </c>
      <c r="M139" s="443">
        <v>0</v>
      </c>
      <c r="N139" s="73"/>
      <c r="O139" s="73">
        <f>K139*G139</f>
        <v>0</v>
      </c>
      <c r="P139" s="73">
        <f>L139*G139</f>
        <v>0</v>
      </c>
      <c r="Q139" s="73"/>
      <c r="R139" s="75"/>
      <c r="S139" s="205"/>
      <c r="T139" s="46">
        <f>H139*J139</f>
        <v>0</v>
      </c>
      <c r="U139" s="46">
        <f>I139*J139</f>
        <v>0</v>
      </c>
    </row>
    <row r="140" spans="1:23">
      <c r="A140" s="528"/>
      <c r="B140" s="271"/>
      <c r="C140" s="290" t="s">
        <v>106</v>
      </c>
      <c r="D140" s="64"/>
      <c r="E140" s="122">
        <f>E136+E139</f>
        <v>28</v>
      </c>
      <c r="F140" s="122">
        <f>F136+F139</f>
        <v>28</v>
      </c>
      <c r="G140" s="122">
        <f>G136+G139</f>
        <v>28</v>
      </c>
      <c r="H140" s="60">
        <f>H136+H139</f>
        <v>28</v>
      </c>
      <c r="I140" s="60">
        <f>I136+I139</f>
        <v>28</v>
      </c>
      <c r="J140" s="73" t="s">
        <v>104</v>
      </c>
      <c r="K140" s="205" t="s">
        <v>104</v>
      </c>
      <c r="L140" s="205" t="s">
        <v>104</v>
      </c>
      <c r="M140" s="75" t="s">
        <v>104</v>
      </c>
      <c r="N140" s="103">
        <f>SUM(N136:N139)</f>
        <v>1874186.3399999999</v>
      </c>
      <c r="O140" s="74">
        <f>SUM(O136:O139)</f>
        <v>1307852.74</v>
      </c>
      <c r="P140" s="74">
        <f>SUM(P136:P139)</f>
        <v>112055.72</v>
      </c>
      <c r="Q140" s="74"/>
      <c r="R140" s="136">
        <f>SUM(R136:R139)</f>
        <v>454277.88</v>
      </c>
      <c r="S140" s="185"/>
      <c r="T140" s="185">
        <f>SUM(T136:T139)</f>
        <v>1874186.3399999999</v>
      </c>
      <c r="U140" s="185">
        <f>SUM(U136:U139)</f>
        <v>1874186.3399999999</v>
      </c>
    </row>
    <row r="141" spans="1:23" ht="102" customHeight="1">
      <c r="A141" s="528"/>
      <c r="B141" s="137" t="s">
        <v>240</v>
      </c>
      <c r="C141" s="61" t="s">
        <v>187</v>
      </c>
      <c r="D141" s="64" t="s">
        <v>101</v>
      </c>
      <c r="E141" s="122">
        <v>862</v>
      </c>
      <c r="F141" s="122">
        <v>862</v>
      </c>
      <c r="G141" s="123">
        <f>((E141*8)+(F141*4))/12</f>
        <v>862</v>
      </c>
      <c r="H141" s="60">
        <v>862</v>
      </c>
      <c r="I141" s="60">
        <v>862</v>
      </c>
      <c r="J141" s="75">
        <f>K141</f>
        <v>3978.73</v>
      </c>
      <c r="K141" s="46">
        <v>3978.73</v>
      </c>
      <c r="L141" s="205" t="s">
        <v>104</v>
      </c>
      <c r="M141" s="75" t="s">
        <v>104</v>
      </c>
      <c r="N141" s="73">
        <f>SUM(O141:R141)</f>
        <v>3429665.2600000002</v>
      </c>
      <c r="O141" s="73">
        <f>G141*K141</f>
        <v>3429665.2600000002</v>
      </c>
      <c r="P141" s="73" t="s">
        <v>104</v>
      </c>
      <c r="Q141" s="73"/>
      <c r="R141" s="75" t="s">
        <v>104</v>
      </c>
      <c r="S141" s="205"/>
      <c r="T141" s="46">
        <f>H141*J141</f>
        <v>3429665.2600000002</v>
      </c>
      <c r="U141" s="46">
        <f t="shared" ref="U141:U148" si="38">T141</f>
        <v>3429665.2600000002</v>
      </c>
    </row>
    <row r="142" spans="1:23">
      <c r="A142" s="528"/>
      <c r="B142" s="69"/>
      <c r="C142" s="290" t="s">
        <v>106</v>
      </c>
      <c r="D142" s="69"/>
      <c r="E142" s="122">
        <f>SUM(E141:E141)</f>
        <v>862</v>
      </c>
      <c r="F142" s="122">
        <f>SUM(F141:F141)</f>
        <v>862</v>
      </c>
      <c r="G142" s="122">
        <f>SUM(G141:G141)</f>
        <v>862</v>
      </c>
      <c r="H142" s="60">
        <f>SUM(H141:H141)</f>
        <v>862</v>
      </c>
      <c r="I142" s="60">
        <f>SUM(I141:I141)</f>
        <v>862</v>
      </c>
      <c r="J142" s="73" t="s">
        <v>104</v>
      </c>
      <c r="K142" s="205" t="s">
        <v>104</v>
      </c>
      <c r="L142" s="205" t="s">
        <v>104</v>
      </c>
      <c r="M142" s="444">
        <f t="shared" ref="M142:R142" si="39">SUM(M141:M141)</f>
        <v>0</v>
      </c>
      <c r="N142" s="103">
        <f>SUM(N141:N141)</f>
        <v>3429665.2600000002</v>
      </c>
      <c r="O142" s="74">
        <f t="shared" si="39"/>
        <v>3429665.2600000002</v>
      </c>
      <c r="P142" s="74">
        <f t="shared" si="39"/>
        <v>0</v>
      </c>
      <c r="Q142" s="74"/>
      <c r="R142" s="444">
        <f t="shared" si="39"/>
        <v>0</v>
      </c>
      <c r="S142" s="185"/>
      <c r="T142" s="46">
        <f>N142</f>
        <v>3429665.2600000002</v>
      </c>
      <c r="U142" s="46">
        <f t="shared" si="38"/>
        <v>3429665.2600000002</v>
      </c>
      <c r="V142" s="192">
        <v>33800419.590000004</v>
      </c>
      <c r="W142" s="192">
        <f>V142-T150</f>
        <v>-52240.379999995232</v>
      </c>
    </row>
    <row r="143" spans="1:23" ht="13.95" hidden="1" customHeight="1">
      <c r="A143" s="528"/>
      <c r="B143" s="69" t="s">
        <v>282</v>
      </c>
      <c r="C143" s="181" t="s">
        <v>226</v>
      </c>
      <c r="D143" s="69"/>
      <c r="E143" s="122"/>
      <c r="F143" s="122"/>
      <c r="G143" s="122"/>
      <c r="H143" s="60"/>
      <c r="I143" s="60"/>
      <c r="J143" s="73"/>
      <c r="K143" s="205"/>
      <c r="L143" s="205"/>
      <c r="M143" s="444"/>
      <c r="N143" s="74">
        <f>P143</f>
        <v>0</v>
      </c>
      <c r="O143" s="74"/>
      <c r="P143" s="74"/>
      <c r="Q143" s="74"/>
      <c r="R143" s="444"/>
      <c r="S143" s="185"/>
      <c r="T143" s="46">
        <f>P143</f>
        <v>0</v>
      </c>
      <c r="U143" s="46">
        <f t="shared" si="38"/>
        <v>0</v>
      </c>
      <c r="V143" s="192">
        <f>N126+N135+N140+N142+N143</f>
        <v>31509059.969999999</v>
      </c>
    </row>
    <row r="144" spans="1:23" ht="13.95" hidden="1" customHeight="1">
      <c r="A144" s="528"/>
      <c r="B144" s="89" t="s">
        <v>225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5"/>
      <c r="L144" s="205"/>
      <c r="M144" s="444"/>
      <c r="N144" s="74">
        <f>S144</f>
        <v>0</v>
      </c>
      <c r="O144" s="74"/>
      <c r="P144" s="74"/>
      <c r="Q144" s="74"/>
      <c r="R144" s="444"/>
      <c r="S144" s="185"/>
      <c r="T144" s="46"/>
      <c r="U144" s="46">
        <f t="shared" si="38"/>
        <v>0</v>
      </c>
    </row>
    <row r="145" spans="1:27" ht="13.95" hidden="1" customHeight="1">
      <c r="A145" s="528"/>
      <c r="B145" s="89" t="s">
        <v>225</v>
      </c>
      <c r="C145" s="181" t="s">
        <v>226</v>
      </c>
      <c r="D145" s="64" t="s">
        <v>101</v>
      </c>
      <c r="E145" s="122"/>
      <c r="F145" s="122"/>
      <c r="G145" s="122"/>
      <c r="H145" s="60"/>
      <c r="I145" s="60"/>
      <c r="J145" s="73"/>
      <c r="K145" s="205"/>
      <c r="L145" s="205"/>
      <c r="M145" s="444"/>
      <c r="N145" s="74">
        <f>S145</f>
        <v>0</v>
      </c>
      <c r="O145" s="74"/>
      <c r="P145" s="74"/>
      <c r="Q145" s="74"/>
      <c r="R145" s="444"/>
      <c r="S145" s="185"/>
      <c r="T145" s="46">
        <f>Q145</f>
        <v>0</v>
      </c>
      <c r="U145" s="46">
        <f t="shared" si="38"/>
        <v>0</v>
      </c>
    </row>
    <row r="146" spans="1:27" ht="13.95" hidden="1" customHeight="1">
      <c r="A146" s="528"/>
      <c r="B146" s="89" t="s">
        <v>281</v>
      </c>
      <c r="C146" s="181" t="s">
        <v>219</v>
      </c>
      <c r="D146" s="64" t="s">
        <v>101</v>
      </c>
      <c r="E146" s="122"/>
      <c r="F146" s="122"/>
      <c r="G146" s="122">
        <v>14</v>
      </c>
      <c r="H146" s="60">
        <v>14</v>
      </c>
      <c r="I146" s="60">
        <v>14</v>
      </c>
      <c r="J146" s="73"/>
      <c r="K146" s="205"/>
      <c r="L146" s="205"/>
      <c r="M146" s="444"/>
      <c r="N146" s="74">
        <f>S146</f>
        <v>0</v>
      </c>
      <c r="O146" s="74"/>
      <c r="P146" s="74"/>
      <c r="Q146" s="74"/>
      <c r="R146" s="444"/>
      <c r="S146" s="185"/>
      <c r="T146" s="46"/>
      <c r="U146" s="46"/>
    </row>
    <row r="147" spans="1:27">
      <c r="A147" s="528"/>
      <c r="B147" s="89" t="s">
        <v>288</v>
      </c>
      <c r="C147" s="181" t="s">
        <v>226</v>
      </c>
      <c r="D147" s="64"/>
      <c r="E147" s="122">
        <v>20</v>
      </c>
      <c r="F147" s="122">
        <v>20</v>
      </c>
      <c r="G147" s="122">
        <v>20</v>
      </c>
      <c r="H147" s="60">
        <v>20</v>
      </c>
      <c r="I147" s="60">
        <v>20</v>
      </c>
      <c r="J147" s="73"/>
      <c r="K147" s="205"/>
      <c r="L147" s="205"/>
      <c r="M147" s="444"/>
      <c r="N147" s="74">
        <f>O147</f>
        <v>2343600</v>
      </c>
      <c r="O147" s="74">
        <v>2343600</v>
      </c>
      <c r="P147" s="74"/>
      <c r="Q147" s="74"/>
      <c r="R147" s="444"/>
      <c r="S147" s="185"/>
      <c r="T147" s="46">
        <v>2343600</v>
      </c>
      <c r="U147" s="46">
        <f>T147</f>
        <v>2343600</v>
      </c>
    </row>
    <row r="148" spans="1:27" ht="13.95" hidden="1" customHeight="1">
      <c r="A148" s="528"/>
      <c r="B148" s="89" t="s">
        <v>257</v>
      </c>
      <c r="C148" s="181" t="s">
        <v>226</v>
      </c>
      <c r="D148" s="64"/>
      <c r="E148" s="122"/>
      <c r="F148" s="122"/>
      <c r="G148" s="122"/>
      <c r="H148" s="60"/>
      <c r="I148" s="60"/>
      <c r="J148" s="73"/>
      <c r="K148" s="205"/>
      <c r="L148" s="205"/>
      <c r="M148" s="444"/>
      <c r="N148" s="74">
        <f>O148</f>
        <v>0</v>
      </c>
      <c r="O148" s="74"/>
      <c r="P148" s="74"/>
      <c r="Q148" s="74"/>
      <c r="R148" s="444"/>
      <c r="S148" s="185"/>
      <c r="T148" s="46">
        <f>O148</f>
        <v>0</v>
      </c>
      <c r="U148" s="46">
        <f t="shared" si="38"/>
        <v>0</v>
      </c>
    </row>
    <row r="149" spans="1:27" ht="13.95" hidden="1" customHeight="1">
      <c r="A149" s="528"/>
      <c r="B149" s="89" t="s">
        <v>289</v>
      </c>
      <c r="C149" s="181" t="s">
        <v>226</v>
      </c>
      <c r="D149" s="64"/>
      <c r="E149" s="122"/>
      <c r="F149" s="122"/>
      <c r="G149" s="122"/>
      <c r="H149" s="60"/>
      <c r="I149" s="60"/>
      <c r="J149" s="73"/>
      <c r="K149" s="205"/>
      <c r="L149" s="205"/>
      <c r="M149" s="444"/>
      <c r="N149" s="74">
        <f>P149</f>
        <v>0</v>
      </c>
      <c r="O149" s="74"/>
      <c r="P149" s="74"/>
      <c r="Q149" s="74"/>
      <c r="R149" s="444"/>
      <c r="S149" s="185"/>
      <c r="T149" s="46"/>
      <c r="U149" s="46">
        <f>T149</f>
        <v>0</v>
      </c>
    </row>
    <row r="150" spans="1:27">
      <c r="A150" s="528"/>
      <c r="B150" s="101" t="s">
        <v>112</v>
      </c>
      <c r="C150" s="101"/>
      <c r="D150" s="69"/>
      <c r="E150" s="212">
        <f>E126+E135+E140</f>
        <v>479</v>
      </c>
      <c r="F150" s="102">
        <f>F126+F135+F140</f>
        <v>479</v>
      </c>
      <c r="G150" s="212">
        <f>G126+G135+G140</f>
        <v>479</v>
      </c>
      <c r="H150" s="102">
        <f>H126+H135+H140</f>
        <v>479</v>
      </c>
      <c r="I150" s="102">
        <f>I126+I135+I140</f>
        <v>479</v>
      </c>
      <c r="J150" s="104"/>
      <c r="K150" s="219"/>
      <c r="L150" s="138"/>
      <c r="M150" s="136"/>
      <c r="N150" s="103">
        <f>SUM(O150:S150)</f>
        <v>33852659.969999999</v>
      </c>
      <c r="O150" s="136">
        <f>O126+O135+O140+O142+O147+O148</f>
        <v>24158803.119999997</v>
      </c>
      <c r="P150" s="103">
        <f>P126+P135+P140+P142+P143+P144+P145+P149</f>
        <v>1916953.2099999997</v>
      </c>
      <c r="Q150" s="103">
        <f>Q126+Q135+Q140+Q142+Q143+Q144+Q145</f>
        <v>0</v>
      </c>
      <c r="R150" s="136">
        <f>R126+R135+R140+R142+R143+R144+R145+R146</f>
        <v>7776903.6399999997</v>
      </c>
      <c r="S150" s="138">
        <f>S126+S135+S140+S142+S143+S144+S145+S146</f>
        <v>0</v>
      </c>
      <c r="T150" s="138">
        <f>T126+T135+T140+T142+T143+T144+T145+T146+T147+T148+T149</f>
        <v>33852659.969999999</v>
      </c>
      <c r="U150" s="138">
        <f>U126+U135+U140+U142+U143+U144+U145+U146+U147+U148+U149</f>
        <v>33852659.969999999</v>
      </c>
      <c r="V150" s="182">
        <v>6303274.5899999999</v>
      </c>
      <c r="W150" s="192">
        <f>V150-R150</f>
        <v>-1473629.0499999998</v>
      </c>
      <c r="X150" s="182">
        <f>W150/G150</f>
        <v>-3076.4698329853859</v>
      </c>
      <c r="AA150" s="192"/>
    </row>
    <row r="151" spans="1:27" ht="82.95" customHeight="1">
      <c r="A151" s="528" t="s">
        <v>116</v>
      </c>
      <c r="B151" s="530" t="s">
        <v>237</v>
      </c>
      <c r="C151" s="61" t="s">
        <v>100</v>
      </c>
      <c r="D151" s="62" t="s">
        <v>101</v>
      </c>
      <c r="E151" s="123">
        <v>320</v>
      </c>
      <c r="F151" s="123">
        <v>320</v>
      </c>
      <c r="G151" s="123">
        <f t="shared" ref="G151:G173" si="40">((E151*8)+(F151*4))/12</f>
        <v>320</v>
      </c>
      <c r="H151" s="59">
        <v>320</v>
      </c>
      <c r="I151" s="59">
        <v>320</v>
      </c>
      <c r="J151" s="107">
        <f>SUM(K151:M151)</f>
        <v>44979.02</v>
      </c>
      <c r="K151" s="218">
        <f>23416.19+1351.63</f>
        <v>24767.82</v>
      </c>
      <c r="L151" s="209">
        <f>4001.99</f>
        <v>4001.99</v>
      </c>
      <c r="M151" s="443">
        <f>14314.24+1894.97</f>
        <v>16209.21</v>
      </c>
      <c r="N151" s="71">
        <f>SUM(O151:R151)</f>
        <v>14393286.399999999</v>
      </c>
      <c r="O151" s="71">
        <f>G151*K151</f>
        <v>7925702.4000000004</v>
      </c>
      <c r="P151" s="71">
        <f>G151*L151</f>
        <v>1280636.7999999998</v>
      </c>
      <c r="Q151" s="71"/>
      <c r="R151" s="75">
        <f>G151*M151</f>
        <v>5186947.1999999993</v>
      </c>
      <c r="S151" s="46"/>
      <c r="T151" s="46">
        <f>N151</f>
        <v>14393286.399999999</v>
      </c>
      <c r="U151" s="46">
        <f>T151</f>
        <v>14393286.399999999</v>
      </c>
    </row>
    <row r="152" spans="1:27" ht="82.8">
      <c r="A152" s="528"/>
      <c r="B152" s="531"/>
      <c r="C152" s="63" t="s">
        <v>163</v>
      </c>
      <c r="D152" s="64" t="s">
        <v>101</v>
      </c>
      <c r="E152" s="123" t="s">
        <v>104</v>
      </c>
      <c r="F152" s="123" t="s">
        <v>104</v>
      </c>
      <c r="G152" s="123" t="s">
        <v>104</v>
      </c>
      <c r="H152" s="59" t="s">
        <v>104</v>
      </c>
      <c r="I152" s="59" t="s">
        <v>104</v>
      </c>
      <c r="J152" s="59" t="s">
        <v>104</v>
      </c>
      <c r="K152" s="123" t="s">
        <v>104</v>
      </c>
      <c r="L152" s="123" t="s">
        <v>104</v>
      </c>
      <c r="M152" s="121" t="s">
        <v>104</v>
      </c>
      <c r="N152" s="71"/>
      <c r="O152" s="71"/>
      <c r="P152" s="59" t="s">
        <v>104</v>
      </c>
      <c r="Q152" s="59"/>
      <c r="R152" s="121" t="s">
        <v>104</v>
      </c>
      <c r="S152" s="123"/>
      <c r="T152" s="46"/>
      <c r="U152" s="46"/>
    </row>
    <row r="153" spans="1:27">
      <c r="A153" s="528"/>
      <c r="B153" s="531"/>
      <c r="C153" s="63" t="s">
        <v>164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ref="J153:J159" si="41">K153</f>
        <v>25853.63</v>
      </c>
      <c r="K153" s="203">
        <v>25853.63</v>
      </c>
      <c r="L153" s="123" t="s">
        <v>104</v>
      </c>
      <c r="M153" s="121" t="s">
        <v>104</v>
      </c>
      <c r="N153" s="71">
        <f t="shared" ref="N153:N159" si="42">O153</f>
        <v>25853.63</v>
      </c>
      <c r="O153" s="71">
        <f>G153*K153</f>
        <v>25853.63</v>
      </c>
      <c r="P153" s="59" t="s">
        <v>104</v>
      </c>
      <c r="Q153" s="59"/>
      <c r="R153" s="121"/>
      <c r="S153" s="123"/>
      <c r="T153" s="46">
        <f t="shared" ref="T153:T159" si="43">H153*K153</f>
        <v>25853.63</v>
      </c>
      <c r="U153" s="46">
        <f t="shared" ref="U153:U159" si="44">I153*K153</f>
        <v>25853.63</v>
      </c>
    </row>
    <row r="154" spans="1:27">
      <c r="A154" s="528"/>
      <c r="B154" s="531"/>
      <c r="C154" s="63" t="s">
        <v>169</v>
      </c>
      <c r="D154" s="64" t="s">
        <v>101</v>
      </c>
      <c r="E154" s="123">
        <v>6</v>
      </c>
      <c r="F154" s="123">
        <v>6</v>
      </c>
      <c r="G154" s="123">
        <f t="shared" si="40"/>
        <v>6</v>
      </c>
      <c r="H154" s="59">
        <v>6</v>
      </c>
      <c r="I154" s="59">
        <v>6</v>
      </c>
      <c r="J154" s="75">
        <f t="shared" si="41"/>
        <v>69621.41</v>
      </c>
      <c r="K154" s="203">
        <v>69621.41</v>
      </c>
      <c r="L154" s="123" t="s">
        <v>104</v>
      </c>
      <c r="M154" s="121" t="s">
        <v>104</v>
      </c>
      <c r="N154" s="71">
        <f t="shared" si="42"/>
        <v>417728.46</v>
      </c>
      <c r="O154" s="71">
        <f t="shared" ref="O154:O159" si="45">G154*K154</f>
        <v>417728.46</v>
      </c>
      <c r="P154" s="59" t="s">
        <v>104</v>
      </c>
      <c r="Q154" s="59"/>
      <c r="R154" s="121" t="s">
        <v>104</v>
      </c>
      <c r="S154" s="123"/>
      <c r="T154" s="46">
        <f t="shared" si="43"/>
        <v>417728.46</v>
      </c>
      <c r="U154" s="46">
        <f t="shared" si="44"/>
        <v>417728.46</v>
      </c>
    </row>
    <row r="155" spans="1:27">
      <c r="A155" s="528"/>
      <c r="B155" s="531"/>
      <c r="C155" s="63" t="s">
        <v>165</v>
      </c>
      <c r="D155" s="64" t="s">
        <v>101</v>
      </c>
      <c r="E155" s="123">
        <v>1</v>
      </c>
      <c r="F155" s="123">
        <v>1</v>
      </c>
      <c r="G155" s="123">
        <f t="shared" si="40"/>
        <v>1</v>
      </c>
      <c r="H155" s="59">
        <v>1</v>
      </c>
      <c r="I155" s="59">
        <v>1</v>
      </c>
      <c r="J155" s="75">
        <f t="shared" si="41"/>
        <v>92730.02</v>
      </c>
      <c r="K155" s="203">
        <v>92730.02</v>
      </c>
      <c r="L155" s="123" t="s">
        <v>104</v>
      </c>
      <c r="M155" s="121" t="s">
        <v>104</v>
      </c>
      <c r="N155" s="71">
        <f t="shared" si="42"/>
        <v>92730.02</v>
      </c>
      <c r="O155" s="71">
        <f t="shared" si="45"/>
        <v>92730.02</v>
      </c>
      <c r="P155" s="59"/>
      <c r="Q155" s="59"/>
      <c r="R155" s="121"/>
      <c r="S155" s="123"/>
      <c r="T155" s="46">
        <f>H155*K155</f>
        <v>92730.02</v>
      </c>
      <c r="U155" s="46">
        <f t="shared" si="44"/>
        <v>92730.02</v>
      </c>
    </row>
    <row r="156" spans="1:27">
      <c r="A156" s="528"/>
      <c r="B156" s="531"/>
      <c r="C156" s="63" t="s">
        <v>166</v>
      </c>
      <c r="D156" s="64" t="s">
        <v>101</v>
      </c>
      <c r="E156" s="123">
        <v>6</v>
      </c>
      <c r="F156" s="123">
        <v>6</v>
      </c>
      <c r="G156" s="123">
        <f t="shared" si="40"/>
        <v>6</v>
      </c>
      <c r="H156" s="59">
        <v>6</v>
      </c>
      <c r="I156" s="59">
        <v>6</v>
      </c>
      <c r="J156" s="75">
        <f t="shared" si="41"/>
        <v>66620.070000000007</v>
      </c>
      <c r="K156" s="46">
        <v>66620.070000000007</v>
      </c>
      <c r="L156" s="123" t="s">
        <v>104</v>
      </c>
      <c r="M156" s="121" t="s">
        <v>104</v>
      </c>
      <c r="N156" s="71">
        <f t="shared" si="42"/>
        <v>399720.42000000004</v>
      </c>
      <c r="O156" s="71">
        <f t="shared" si="45"/>
        <v>399720.42000000004</v>
      </c>
      <c r="P156" s="59" t="s">
        <v>104</v>
      </c>
      <c r="Q156" s="59"/>
      <c r="R156" s="121" t="s">
        <v>104</v>
      </c>
      <c r="S156" s="123"/>
      <c r="T156" s="46">
        <f t="shared" si="43"/>
        <v>399720.42000000004</v>
      </c>
      <c r="U156" s="46">
        <f t="shared" si="44"/>
        <v>399720.42000000004</v>
      </c>
    </row>
    <row r="157" spans="1:27">
      <c r="A157" s="528"/>
      <c r="B157" s="531"/>
      <c r="C157" s="63" t="s">
        <v>190</v>
      </c>
      <c r="D157" s="64" t="s">
        <v>101</v>
      </c>
      <c r="E157" s="123"/>
      <c r="F157" s="123"/>
      <c r="G157" s="123">
        <f t="shared" si="40"/>
        <v>0</v>
      </c>
      <c r="H157" s="59"/>
      <c r="I157" s="59"/>
      <c r="J157" s="75">
        <f t="shared" si="41"/>
        <v>179040.83</v>
      </c>
      <c r="K157" s="46">
        <v>179040.83</v>
      </c>
      <c r="L157" s="123" t="s">
        <v>104</v>
      </c>
      <c r="M157" s="121" t="s">
        <v>104</v>
      </c>
      <c r="N157" s="71">
        <f t="shared" si="42"/>
        <v>0</v>
      </c>
      <c r="O157" s="71">
        <f t="shared" si="45"/>
        <v>0</v>
      </c>
      <c r="P157" s="59" t="s">
        <v>104</v>
      </c>
      <c r="Q157" s="59"/>
      <c r="R157" s="121" t="s">
        <v>104</v>
      </c>
      <c r="S157" s="123"/>
      <c r="T157" s="46">
        <f t="shared" si="43"/>
        <v>0</v>
      </c>
      <c r="U157" s="46">
        <f t="shared" si="44"/>
        <v>0</v>
      </c>
    </row>
    <row r="158" spans="1:27">
      <c r="A158" s="528"/>
      <c r="B158" s="531"/>
      <c r="C158" s="63" t="s">
        <v>170</v>
      </c>
      <c r="D158" s="64" t="s">
        <v>101</v>
      </c>
      <c r="E158" s="123"/>
      <c r="F158" s="123"/>
      <c r="G158" s="123">
        <f t="shared" si="40"/>
        <v>0</v>
      </c>
      <c r="H158" s="59"/>
      <c r="I158" s="59"/>
      <c r="J158" s="75">
        <f t="shared" si="41"/>
        <v>99909.59</v>
      </c>
      <c r="K158" s="46">
        <v>99909.59</v>
      </c>
      <c r="L158" s="123" t="s">
        <v>104</v>
      </c>
      <c r="M158" s="121" t="s">
        <v>104</v>
      </c>
      <c r="N158" s="71">
        <f t="shared" si="42"/>
        <v>0</v>
      </c>
      <c r="O158" s="71">
        <f t="shared" si="45"/>
        <v>0</v>
      </c>
      <c r="P158" s="59" t="s">
        <v>104</v>
      </c>
      <c r="Q158" s="59"/>
      <c r="R158" s="121" t="s">
        <v>104</v>
      </c>
      <c r="S158" s="123"/>
      <c r="T158" s="46">
        <f t="shared" si="43"/>
        <v>0</v>
      </c>
      <c r="U158" s="46">
        <f t="shared" si="44"/>
        <v>0</v>
      </c>
    </row>
    <row r="159" spans="1:27">
      <c r="A159" s="528"/>
      <c r="B159" s="531"/>
      <c r="C159" s="63" t="s">
        <v>168</v>
      </c>
      <c r="D159" s="64" t="s">
        <v>101</v>
      </c>
      <c r="E159" s="123">
        <v>1</v>
      </c>
      <c r="F159" s="123">
        <v>1</v>
      </c>
      <c r="G159" s="123">
        <f t="shared" si="40"/>
        <v>1</v>
      </c>
      <c r="H159" s="59">
        <v>1</v>
      </c>
      <c r="I159" s="59">
        <v>1</v>
      </c>
      <c r="J159" s="75">
        <f t="shared" si="41"/>
        <v>23817.46</v>
      </c>
      <c r="K159" s="46">
        <v>23817.46</v>
      </c>
      <c r="L159" s="123" t="s">
        <v>104</v>
      </c>
      <c r="M159" s="121" t="s">
        <v>104</v>
      </c>
      <c r="N159" s="71">
        <f t="shared" si="42"/>
        <v>23817.46</v>
      </c>
      <c r="O159" s="71">
        <f t="shared" si="45"/>
        <v>23817.46</v>
      </c>
      <c r="P159" s="59" t="s">
        <v>104</v>
      </c>
      <c r="Q159" s="59"/>
      <c r="R159" s="121" t="s">
        <v>104</v>
      </c>
      <c r="S159" s="123"/>
      <c r="T159" s="46">
        <f t="shared" si="43"/>
        <v>23817.46</v>
      </c>
      <c r="U159" s="46">
        <f t="shared" si="44"/>
        <v>23817.46</v>
      </c>
    </row>
    <row r="160" spans="1:27" ht="84.6" customHeight="1">
      <c r="A160" s="528"/>
      <c r="B160" s="531"/>
      <c r="C160" s="61" t="s">
        <v>105</v>
      </c>
      <c r="D160" s="64" t="s">
        <v>101</v>
      </c>
      <c r="E160" s="123">
        <v>1</v>
      </c>
      <c r="F160" s="123">
        <v>1</v>
      </c>
      <c r="G160" s="123">
        <f t="shared" si="40"/>
        <v>1</v>
      </c>
      <c r="H160" s="59">
        <v>1</v>
      </c>
      <c r="I160" s="59">
        <v>1</v>
      </c>
      <c r="J160" s="75">
        <f>SUM(K160:M160)</f>
        <v>143232.30000000002</v>
      </c>
      <c r="K160" s="46">
        <f>121669.47+1351.63</f>
        <v>123021.1</v>
      </c>
      <c r="L160" s="209">
        <f>4001.99</f>
        <v>4001.99</v>
      </c>
      <c r="M160" s="443">
        <f>14314.24+1894.97</f>
        <v>16209.21</v>
      </c>
      <c r="N160" s="71">
        <f>SUM(O160:R160)</f>
        <v>143232.30000000002</v>
      </c>
      <c r="O160" s="71">
        <f>G160*K160</f>
        <v>123021.1</v>
      </c>
      <c r="P160" s="71">
        <f>G160*L160</f>
        <v>4001.99</v>
      </c>
      <c r="Q160" s="71"/>
      <c r="R160" s="75">
        <f>G160*M160</f>
        <v>16209.21</v>
      </c>
      <c r="S160" s="46"/>
      <c r="T160" s="46">
        <f>N160</f>
        <v>143232.30000000002</v>
      </c>
      <c r="U160" s="46">
        <f>T160</f>
        <v>143232.30000000002</v>
      </c>
    </row>
    <row r="161" spans="1:26" ht="82.8">
      <c r="A161" s="528"/>
      <c r="B161" s="531"/>
      <c r="C161" s="61" t="s">
        <v>117</v>
      </c>
      <c r="D161" s="64" t="s">
        <v>101</v>
      </c>
      <c r="E161" s="123">
        <v>0</v>
      </c>
      <c r="F161" s="123">
        <v>0</v>
      </c>
      <c r="G161" s="123">
        <f t="shared" si="40"/>
        <v>0</v>
      </c>
      <c r="H161" s="59">
        <v>0</v>
      </c>
      <c r="I161" s="59">
        <v>0</v>
      </c>
      <c r="J161" s="75">
        <f>K161</f>
        <v>21840.1</v>
      </c>
      <c r="K161" s="46">
        <v>21840.1</v>
      </c>
      <c r="L161" s="184" t="s">
        <v>104</v>
      </c>
      <c r="M161" s="72" t="s">
        <v>104</v>
      </c>
      <c r="N161" s="71">
        <f>SUM(O161:R161)</f>
        <v>0</v>
      </c>
      <c r="O161" s="71">
        <f>G161*K161</f>
        <v>0</v>
      </c>
      <c r="P161" s="71"/>
      <c r="Q161" s="71"/>
      <c r="R161" s="283"/>
      <c r="S161" s="203"/>
      <c r="T161" s="46">
        <f>H161*J161</f>
        <v>0</v>
      </c>
      <c r="U161" s="46">
        <f>I161*J161</f>
        <v>0</v>
      </c>
    </row>
    <row r="162" spans="1:26">
      <c r="A162" s="528"/>
      <c r="B162" s="532"/>
      <c r="C162" s="290" t="s">
        <v>106</v>
      </c>
      <c r="D162" s="67"/>
      <c r="E162" s="123">
        <f>E151+E160</f>
        <v>321</v>
      </c>
      <c r="F162" s="123">
        <f>F151+F160</f>
        <v>321</v>
      </c>
      <c r="G162" s="123">
        <f>G151+G160</f>
        <v>321</v>
      </c>
      <c r="H162" s="59">
        <f>H151+H160</f>
        <v>321</v>
      </c>
      <c r="I162" s="59">
        <f>I151+I160</f>
        <v>321</v>
      </c>
      <c r="J162" s="71" t="s">
        <v>104</v>
      </c>
      <c r="K162" s="203" t="s">
        <v>104</v>
      </c>
      <c r="L162" s="203" t="s">
        <v>104</v>
      </c>
      <c r="M162" s="283" t="s">
        <v>104</v>
      </c>
      <c r="N162" s="118">
        <f>SUM(N151:N161)</f>
        <v>15496368.690000001</v>
      </c>
      <c r="O162" s="71">
        <f>SUM(O151:O161)</f>
        <v>9008573.4900000002</v>
      </c>
      <c r="P162" s="71">
        <f>SUM(P151:P161)</f>
        <v>1284638.7899999998</v>
      </c>
      <c r="Q162" s="71"/>
      <c r="R162" s="445">
        <f>SUM(R151:R161)</f>
        <v>5203156.4099999992</v>
      </c>
      <c r="S162" s="203"/>
      <c r="T162" s="203">
        <f>SUM(T151:T161)</f>
        <v>15496368.690000001</v>
      </c>
      <c r="U162" s="203">
        <f>SUM(U151:U161)</f>
        <v>15496368.690000001</v>
      </c>
      <c r="Z162" s="192"/>
    </row>
    <row r="163" spans="1:26" ht="82.95" customHeight="1">
      <c r="A163" s="528"/>
      <c r="B163" s="530" t="s">
        <v>238</v>
      </c>
      <c r="C163" s="61" t="s">
        <v>100</v>
      </c>
      <c r="D163" s="62" t="s">
        <v>101</v>
      </c>
      <c r="E163" s="123">
        <v>204</v>
      </c>
      <c r="F163" s="123">
        <v>204</v>
      </c>
      <c r="G163" s="123">
        <f t="shared" si="40"/>
        <v>204</v>
      </c>
      <c r="H163" s="59">
        <v>204</v>
      </c>
      <c r="I163" s="59">
        <v>204</v>
      </c>
      <c r="J163" s="107">
        <f>SUM(K163:M163)</f>
        <v>56551.729999999996</v>
      </c>
      <c r="K163" s="218">
        <f>34640.79+1649.65</f>
        <v>36290.44</v>
      </c>
      <c r="L163" s="209">
        <f>4001.99</f>
        <v>4001.99</v>
      </c>
      <c r="M163" s="443">
        <f>14567.32+1691.98</f>
        <v>16259.3</v>
      </c>
      <c r="N163" s="71">
        <f>SUM(O163:R163)</f>
        <v>11536552.92</v>
      </c>
      <c r="O163" s="71">
        <f>G163*K163</f>
        <v>7403249.7600000007</v>
      </c>
      <c r="P163" s="71">
        <f>G163*L163</f>
        <v>816405.96</v>
      </c>
      <c r="Q163" s="71"/>
      <c r="R163" s="75">
        <f>G163*M163</f>
        <v>3316897.1999999997</v>
      </c>
      <c r="S163" s="46"/>
      <c r="T163" s="46">
        <f>N163</f>
        <v>11536552.92</v>
      </c>
      <c r="U163" s="46">
        <f>T163</f>
        <v>11536552.92</v>
      </c>
    </row>
    <row r="164" spans="1:26" ht="96.6">
      <c r="A164" s="528"/>
      <c r="B164" s="531"/>
      <c r="C164" s="61" t="s">
        <v>118</v>
      </c>
      <c r="D164" s="62" t="s">
        <v>101</v>
      </c>
      <c r="E164" s="123">
        <v>201</v>
      </c>
      <c r="F164" s="123">
        <v>201</v>
      </c>
      <c r="G164" s="123">
        <f t="shared" si="40"/>
        <v>201</v>
      </c>
      <c r="H164" s="59">
        <v>201</v>
      </c>
      <c r="I164" s="59">
        <v>201</v>
      </c>
      <c r="J164" s="107">
        <f>SUM(K164:M164)</f>
        <v>59987.83</v>
      </c>
      <c r="K164" s="218">
        <f>38076.89+1649.65</f>
        <v>39726.54</v>
      </c>
      <c r="L164" s="209">
        <f>4001.99</f>
        <v>4001.99</v>
      </c>
      <c r="M164" s="443">
        <f>14567.32+1691.98</f>
        <v>16259.3</v>
      </c>
      <c r="N164" s="71">
        <f>SUM(O164:R164)</f>
        <v>12057553.829999998</v>
      </c>
      <c r="O164" s="71">
        <f>G164*K164</f>
        <v>7985034.54</v>
      </c>
      <c r="P164" s="71">
        <f>G164*L164</f>
        <v>804399.99</v>
      </c>
      <c r="Q164" s="71"/>
      <c r="R164" s="75">
        <f>G164*M164</f>
        <v>3268119.3</v>
      </c>
      <c r="S164" s="46"/>
      <c r="T164" s="46">
        <f>N164</f>
        <v>12057553.829999998</v>
      </c>
      <c r="U164" s="46">
        <f>T164</f>
        <v>12057553.829999998</v>
      </c>
    </row>
    <row r="165" spans="1:26" ht="82.8">
      <c r="A165" s="528"/>
      <c r="B165" s="531"/>
      <c r="C165" s="63" t="s">
        <v>102</v>
      </c>
      <c r="D165" s="64" t="s">
        <v>101</v>
      </c>
      <c r="E165" s="123" t="s">
        <v>104</v>
      </c>
      <c r="F165" s="123" t="s">
        <v>104</v>
      </c>
      <c r="G165" s="123" t="s">
        <v>104</v>
      </c>
      <c r="H165" s="59" t="s">
        <v>104</v>
      </c>
      <c r="I165" s="59" t="s">
        <v>104</v>
      </c>
      <c r="J165" s="59" t="s">
        <v>104</v>
      </c>
      <c r="K165" s="123" t="s">
        <v>104</v>
      </c>
      <c r="L165" s="123" t="s">
        <v>104</v>
      </c>
      <c r="M165" s="121" t="s">
        <v>104</v>
      </c>
      <c r="N165" s="71"/>
      <c r="O165" s="71"/>
      <c r="P165" s="59" t="s">
        <v>104</v>
      </c>
      <c r="Q165" s="59"/>
      <c r="R165" s="121" t="s">
        <v>104</v>
      </c>
      <c r="S165" s="123"/>
      <c r="T165" s="46"/>
      <c r="U165" s="46"/>
    </row>
    <row r="166" spans="1:26">
      <c r="A166" s="528"/>
      <c r="B166" s="531"/>
      <c r="C166" s="63" t="s">
        <v>171</v>
      </c>
      <c r="D166" s="64" t="s">
        <v>101</v>
      </c>
      <c r="E166" s="122"/>
      <c r="F166" s="122"/>
      <c r="G166" s="123">
        <f t="shared" si="40"/>
        <v>0</v>
      </c>
      <c r="H166" s="60"/>
      <c r="I166" s="60"/>
      <c r="J166" s="75">
        <f>K166</f>
        <v>69621.41</v>
      </c>
      <c r="K166" s="46">
        <v>69621.41</v>
      </c>
      <c r="L166" s="123" t="s">
        <v>104</v>
      </c>
      <c r="M166" s="121" t="s">
        <v>104</v>
      </c>
      <c r="N166" s="71">
        <f>O166</f>
        <v>0</v>
      </c>
      <c r="O166" s="71">
        <f>G166*K166</f>
        <v>0</v>
      </c>
      <c r="P166" s="59" t="s">
        <v>104</v>
      </c>
      <c r="Q166" s="59"/>
      <c r="R166" s="121" t="s">
        <v>104</v>
      </c>
      <c r="S166" s="123"/>
      <c r="T166" s="46">
        <f>H166*K166</f>
        <v>0</v>
      </c>
      <c r="U166" s="46">
        <f>I166*K166</f>
        <v>0</v>
      </c>
    </row>
    <row r="167" spans="1:26">
      <c r="A167" s="528"/>
      <c r="B167" s="531"/>
      <c r="C167" s="63" t="s">
        <v>164</v>
      </c>
      <c r="D167" s="64" t="s">
        <v>101</v>
      </c>
      <c r="E167" s="122"/>
      <c r="F167" s="122"/>
      <c r="G167" s="123">
        <f t="shared" si="40"/>
        <v>0</v>
      </c>
      <c r="H167" s="60"/>
      <c r="I167" s="60"/>
      <c r="J167" s="75">
        <f>K167</f>
        <v>25853.63</v>
      </c>
      <c r="K167" s="46">
        <v>25853.63</v>
      </c>
      <c r="L167" s="123" t="s">
        <v>104</v>
      </c>
      <c r="M167" s="121" t="s">
        <v>104</v>
      </c>
      <c r="N167" s="71">
        <f>O167</f>
        <v>0</v>
      </c>
      <c r="O167" s="71">
        <f t="shared" ref="O167:O168" si="46">G167*K167</f>
        <v>0</v>
      </c>
      <c r="P167" s="59" t="s">
        <v>104</v>
      </c>
      <c r="Q167" s="59"/>
      <c r="R167" s="121" t="s">
        <v>104</v>
      </c>
      <c r="S167" s="123"/>
      <c r="T167" s="46">
        <f>H167*K167</f>
        <v>0</v>
      </c>
      <c r="U167" s="46">
        <f>I167*K167</f>
        <v>0</v>
      </c>
    </row>
    <row r="168" spans="1:26">
      <c r="A168" s="528"/>
      <c r="B168" s="531"/>
      <c r="C168" s="63" t="s">
        <v>168</v>
      </c>
      <c r="D168" s="64" t="s">
        <v>101</v>
      </c>
      <c r="E168" s="122"/>
      <c r="F168" s="122"/>
      <c r="G168" s="123">
        <f t="shared" si="40"/>
        <v>0</v>
      </c>
      <c r="H168" s="60"/>
      <c r="I168" s="60"/>
      <c r="J168" s="75">
        <f>K168</f>
        <v>23817.46</v>
      </c>
      <c r="K168" s="46">
        <v>23817.46</v>
      </c>
      <c r="L168" s="123" t="s">
        <v>104</v>
      </c>
      <c r="M168" s="121" t="s">
        <v>104</v>
      </c>
      <c r="N168" s="71">
        <f>O168</f>
        <v>0</v>
      </c>
      <c r="O168" s="71">
        <f t="shared" si="46"/>
        <v>0</v>
      </c>
      <c r="P168" s="59" t="s">
        <v>104</v>
      </c>
      <c r="Q168" s="59"/>
      <c r="R168" s="121" t="s">
        <v>104</v>
      </c>
      <c r="S168" s="123"/>
      <c r="T168" s="46">
        <f>H168*K168</f>
        <v>0</v>
      </c>
      <c r="U168" s="46">
        <f>I168*K168</f>
        <v>0</v>
      </c>
    </row>
    <row r="169" spans="1:26" ht="81.599999999999994" customHeight="1">
      <c r="A169" s="528"/>
      <c r="B169" s="531"/>
      <c r="C169" s="61" t="s">
        <v>105</v>
      </c>
      <c r="D169" s="64" t="s">
        <v>101</v>
      </c>
      <c r="E169" s="122"/>
      <c r="F169" s="122"/>
      <c r="G169" s="123">
        <f t="shared" si="40"/>
        <v>0</v>
      </c>
      <c r="H169" s="60"/>
      <c r="I169" s="60"/>
      <c r="J169" s="75">
        <f>SUM(K169:M169)</f>
        <v>173563.96999999997</v>
      </c>
      <c r="K169" s="46">
        <f>151653.03+1649.65</f>
        <v>153302.68</v>
      </c>
      <c r="L169" s="209">
        <f>4001.99</f>
        <v>4001.99</v>
      </c>
      <c r="M169" s="443">
        <f>14567.32+1691.98</f>
        <v>16259.3</v>
      </c>
      <c r="N169" s="73">
        <f>SUM(O169:R169)</f>
        <v>0</v>
      </c>
      <c r="O169" s="71">
        <f>G169*K169</f>
        <v>0</v>
      </c>
      <c r="P169" s="73">
        <f>G169*L169</f>
        <v>0</v>
      </c>
      <c r="Q169" s="73"/>
      <c r="R169" s="75">
        <f>E169*M169</f>
        <v>0</v>
      </c>
      <c r="S169" s="205"/>
      <c r="T169" s="46">
        <f>N169</f>
        <v>0</v>
      </c>
      <c r="U169" s="46">
        <f>T169</f>
        <v>0</v>
      </c>
    </row>
    <row r="170" spans="1:26" ht="82.8">
      <c r="A170" s="528"/>
      <c r="B170" s="531"/>
      <c r="C170" s="61" t="s">
        <v>117</v>
      </c>
      <c r="D170" s="64" t="s">
        <v>101</v>
      </c>
      <c r="E170" s="122">
        <v>0</v>
      </c>
      <c r="F170" s="122">
        <v>0</v>
      </c>
      <c r="G170" s="123">
        <f t="shared" si="40"/>
        <v>0</v>
      </c>
      <c r="H170" s="60">
        <v>0</v>
      </c>
      <c r="I170" s="60">
        <v>0</v>
      </c>
      <c r="J170" s="75">
        <f>K170</f>
        <v>34010.129999999997</v>
      </c>
      <c r="K170" s="46">
        <v>34010.129999999997</v>
      </c>
      <c r="L170" s="184" t="s">
        <v>104</v>
      </c>
      <c r="M170" s="72" t="s">
        <v>104</v>
      </c>
      <c r="N170" s="73">
        <f>SUM(O170:R170)</f>
        <v>0</v>
      </c>
      <c r="O170" s="71">
        <f>G170*K170</f>
        <v>0</v>
      </c>
      <c r="P170" s="73"/>
      <c r="Q170" s="73"/>
      <c r="R170" s="75"/>
      <c r="S170" s="205"/>
      <c r="T170" s="46">
        <f>H170*J170</f>
        <v>0</v>
      </c>
      <c r="U170" s="46">
        <f>I170*J170</f>
        <v>0</v>
      </c>
    </row>
    <row r="171" spans="1:26">
      <c r="A171" s="528"/>
      <c r="B171" s="532"/>
      <c r="C171" s="290" t="s">
        <v>106</v>
      </c>
      <c r="D171" s="64"/>
      <c r="E171" s="122">
        <f>E163++E164+E169</f>
        <v>405</v>
      </c>
      <c r="F171" s="122">
        <f>F163++F164+F169</f>
        <v>405</v>
      </c>
      <c r="G171" s="122">
        <f>G163++G164+G169</f>
        <v>405</v>
      </c>
      <c r="H171" s="60">
        <f>H163++H164+H169</f>
        <v>405</v>
      </c>
      <c r="I171" s="60">
        <f>I163++I164+I169</f>
        <v>405</v>
      </c>
      <c r="J171" s="73" t="s">
        <v>104</v>
      </c>
      <c r="K171" s="205" t="s">
        <v>104</v>
      </c>
      <c r="L171" s="185" t="s">
        <v>104</v>
      </c>
      <c r="M171" s="444" t="s">
        <v>104</v>
      </c>
      <c r="N171" s="103">
        <f>SUM(N163:N170)</f>
        <v>23594106.75</v>
      </c>
      <c r="O171" s="74">
        <f t="shared" ref="O171:U171" si="47">SUM(O163:O170)</f>
        <v>15388284.300000001</v>
      </c>
      <c r="P171" s="74">
        <f t="shared" si="47"/>
        <v>1620805.95</v>
      </c>
      <c r="Q171" s="74"/>
      <c r="R171" s="136">
        <f t="shared" si="47"/>
        <v>6585016.5</v>
      </c>
      <c r="S171" s="185"/>
      <c r="T171" s="185">
        <f t="shared" si="47"/>
        <v>23594106.75</v>
      </c>
      <c r="U171" s="185">
        <f t="shared" si="47"/>
        <v>23594106.75</v>
      </c>
      <c r="Z171" s="192"/>
    </row>
    <row r="172" spans="1:26" ht="82.95" customHeight="1">
      <c r="A172" s="528"/>
      <c r="B172" s="530" t="s">
        <v>239</v>
      </c>
      <c r="C172" s="61" t="s">
        <v>100</v>
      </c>
      <c r="D172" s="62" t="s">
        <v>101</v>
      </c>
      <c r="E172" s="122">
        <v>44</v>
      </c>
      <c r="F172" s="122">
        <v>44</v>
      </c>
      <c r="G172" s="123">
        <f t="shared" si="40"/>
        <v>44</v>
      </c>
      <c r="H172" s="60">
        <v>44</v>
      </c>
      <c r="I172" s="60">
        <v>44</v>
      </c>
      <c r="J172" s="107">
        <f>SUM(K172:M172)</f>
        <v>63623.439999999995</v>
      </c>
      <c r="K172" s="218">
        <f>41398.46+1998.78</f>
        <v>43397.24</v>
      </c>
      <c r="L172" s="209">
        <f>4001.99</f>
        <v>4001.99</v>
      </c>
      <c r="M172" s="443">
        <f>14934.34+1289.87</f>
        <v>16224.21</v>
      </c>
      <c r="N172" s="73">
        <f>SUM(O172:R172)</f>
        <v>2799431.36</v>
      </c>
      <c r="O172" s="73">
        <f>G172*K172</f>
        <v>1909478.5599999998</v>
      </c>
      <c r="P172" s="73">
        <f>G172*L172</f>
        <v>176087.56</v>
      </c>
      <c r="Q172" s="73"/>
      <c r="R172" s="75">
        <f>G172*M172</f>
        <v>713865.24</v>
      </c>
      <c r="S172" s="46"/>
      <c r="T172" s="46">
        <f>N172</f>
        <v>2799431.36</v>
      </c>
      <c r="U172" s="46">
        <f>T172</f>
        <v>2799431.36</v>
      </c>
    </row>
    <row r="173" spans="1:26" ht="96.6">
      <c r="A173" s="528"/>
      <c r="B173" s="531"/>
      <c r="C173" s="61" t="s">
        <v>172</v>
      </c>
      <c r="D173" s="62" t="s">
        <v>101</v>
      </c>
      <c r="E173" s="122">
        <v>53</v>
      </c>
      <c r="F173" s="122">
        <v>53</v>
      </c>
      <c r="G173" s="123">
        <f t="shared" si="40"/>
        <v>53</v>
      </c>
      <c r="H173" s="60">
        <v>53</v>
      </c>
      <c r="I173" s="60">
        <v>53</v>
      </c>
      <c r="J173" s="107">
        <f>SUM(K173:M173)</f>
        <v>107902.5</v>
      </c>
      <c r="K173" s="218">
        <f>85677.52+1998.78</f>
        <v>87676.3</v>
      </c>
      <c r="L173" s="209">
        <f>4001.99</f>
        <v>4001.99</v>
      </c>
      <c r="M173" s="443">
        <f>14934.34+1289.87</f>
        <v>16224.21</v>
      </c>
      <c r="N173" s="73">
        <f>SUM(O173:R173)</f>
        <v>5718832.5</v>
      </c>
      <c r="O173" s="73">
        <f>G173*K173</f>
        <v>4646843.9000000004</v>
      </c>
      <c r="P173" s="73">
        <f>G173*L173</f>
        <v>212105.47</v>
      </c>
      <c r="Q173" s="73"/>
      <c r="R173" s="75">
        <f>G173*M173</f>
        <v>859883.13</v>
      </c>
      <c r="S173" s="46"/>
      <c r="T173" s="46">
        <f>N173</f>
        <v>5718832.5</v>
      </c>
      <c r="U173" s="46">
        <f>T173</f>
        <v>5718832.5</v>
      </c>
    </row>
    <row r="174" spans="1:26" ht="82.8">
      <c r="A174" s="528"/>
      <c r="B174" s="531"/>
      <c r="C174" s="63" t="s">
        <v>102</v>
      </c>
      <c r="D174" s="64" t="s">
        <v>101</v>
      </c>
      <c r="E174" s="123" t="s">
        <v>104</v>
      </c>
      <c r="F174" s="123" t="s">
        <v>104</v>
      </c>
      <c r="G174" s="123" t="s">
        <v>104</v>
      </c>
      <c r="H174" s="59" t="s">
        <v>104</v>
      </c>
      <c r="I174" s="59" t="s">
        <v>104</v>
      </c>
      <c r="J174" s="59" t="s">
        <v>104</v>
      </c>
      <c r="K174" s="123" t="s">
        <v>104</v>
      </c>
      <c r="L174" s="123" t="s">
        <v>104</v>
      </c>
      <c r="M174" s="121" t="s">
        <v>104</v>
      </c>
      <c r="N174" s="71"/>
      <c r="O174" s="71"/>
      <c r="P174" s="59" t="s">
        <v>104</v>
      </c>
      <c r="Q174" s="59"/>
      <c r="R174" s="121" t="s">
        <v>104</v>
      </c>
      <c r="S174" s="123"/>
      <c r="T174" s="46"/>
      <c r="U174" s="46"/>
    </row>
    <row r="175" spans="1:26">
      <c r="A175" s="528"/>
      <c r="B175" s="531"/>
      <c r="C175" s="63" t="s">
        <v>168</v>
      </c>
      <c r="D175" s="64" t="s">
        <v>101</v>
      </c>
      <c r="E175" s="122">
        <v>1</v>
      </c>
      <c r="F175" s="122">
        <v>1</v>
      </c>
      <c r="G175" s="123">
        <f>((E175*8)+(F175*4))/12</f>
        <v>1</v>
      </c>
      <c r="H175" s="60">
        <v>1</v>
      </c>
      <c r="I175" s="60">
        <v>1</v>
      </c>
      <c r="J175" s="75">
        <f>K175</f>
        <v>23817.46</v>
      </c>
      <c r="K175" s="46">
        <v>23817.46</v>
      </c>
      <c r="L175" s="123" t="s">
        <v>104</v>
      </c>
      <c r="M175" s="121" t="s">
        <v>104</v>
      </c>
      <c r="N175" s="71">
        <f>O175</f>
        <v>23817.46</v>
      </c>
      <c r="O175" s="71">
        <f>G175*K175</f>
        <v>23817.46</v>
      </c>
      <c r="P175" s="59" t="s">
        <v>104</v>
      </c>
      <c r="Q175" s="59"/>
      <c r="R175" s="121" t="s">
        <v>104</v>
      </c>
      <c r="S175" s="123"/>
      <c r="T175" s="46">
        <f>H175*K175</f>
        <v>23817.46</v>
      </c>
      <c r="U175" s="46">
        <f>I175*K175</f>
        <v>23817.46</v>
      </c>
    </row>
    <row r="176" spans="1:26" ht="83.4" customHeight="1">
      <c r="A176" s="528"/>
      <c r="B176" s="531"/>
      <c r="C176" s="61" t="s">
        <v>105</v>
      </c>
      <c r="D176" s="64" t="s">
        <v>101</v>
      </c>
      <c r="E176" s="122"/>
      <c r="F176" s="122"/>
      <c r="G176" s="123">
        <f>((E176*8)+(F176*4))/12</f>
        <v>0</v>
      </c>
      <c r="H176" s="60"/>
      <c r="I176" s="60"/>
      <c r="J176" s="75">
        <f>SUM(K176:M176)</f>
        <v>203861.58</v>
      </c>
      <c r="K176" s="46">
        <f>181636.6+1998.78</f>
        <v>183635.38</v>
      </c>
      <c r="L176" s="209">
        <f>4001.99</f>
        <v>4001.99</v>
      </c>
      <c r="M176" s="443">
        <f>14934.34+1289.87</f>
        <v>16224.21</v>
      </c>
      <c r="N176" s="73"/>
      <c r="O176" s="73"/>
      <c r="P176" s="73"/>
      <c r="Q176" s="73"/>
      <c r="R176" s="75"/>
      <c r="S176" s="205"/>
      <c r="T176" s="46">
        <f>H176*J176</f>
        <v>0</v>
      </c>
      <c r="U176" s="46">
        <f>I176*J176</f>
        <v>0</v>
      </c>
    </row>
    <row r="177" spans="1:27">
      <c r="A177" s="528"/>
      <c r="B177" s="532"/>
      <c r="C177" s="290" t="s">
        <v>106</v>
      </c>
      <c r="D177" s="64"/>
      <c r="E177" s="122">
        <f>E172+E176+E173</f>
        <v>97</v>
      </c>
      <c r="F177" s="122">
        <f>F172+F176+F173</f>
        <v>97</v>
      </c>
      <c r="G177" s="122">
        <f>G172+G176+G173</f>
        <v>97</v>
      </c>
      <c r="H177" s="60">
        <f>H172+H176+H173</f>
        <v>97</v>
      </c>
      <c r="I177" s="60">
        <f>I172+I176+I173</f>
        <v>97</v>
      </c>
      <c r="J177" s="73" t="s">
        <v>104</v>
      </c>
      <c r="K177" s="205" t="s">
        <v>104</v>
      </c>
      <c r="L177" s="185" t="s">
        <v>104</v>
      </c>
      <c r="M177" s="444" t="s">
        <v>104</v>
      </c>
      <c r="N177" s="103">
        <f>SUM(N172:N176)</f>
        <v>8542081.3200000003</v>
      </c>
      <c r="O177" s="74">
        <f t="shared" ref="O177:U177" si="48">SUM(O172:O176)</f>
        <v>6580139.9199999999</v>
      </c>
      <c r="P177" s="74">
        <f t="shared" si="48"/>
        <v>388193.03</v>
      </c>
      <c r="Q177" s="74"/>
      <c r="R177" s="136">
        <f t="shared" si="48"/>
        <v>1573748.37</v>
      </c>
      <c r="S177" s="185"/>
      <c r="T177" s="185">
        <f>SUM(T172:T176)</f>
        <v>8542081.3200000003</v>
      </c>
      <c r="U177" s="185">
        <f t="shared" si="48"/>
        <v>8542081.3200000003</v>
      </c>
      <c r="V177" s="192"/>
      <c r="W177" s="192">
        <f>V177-N188</f>
        <v>-60881727.170000002</v>
      </c>
      <c r="Z177" s="192"/>
    </row>
    <row r="178" spans="1:27" ht="102" customHeight="1">
      <c r="A178" s="528"/>
      <c r="B178" s="137" t="s">
        <v>240</v>
      </c>
      <c r="C178" s="61" t="s">
        <v>255</v>
      </c>
      <c r="D178" s="64" t="s">
        <v>101</v>
      </c>
      <c r="E178" s="122">
        <v>2417</v>
      </c>
      <c r="F178" s="122">
        <v>2417</v>
      </c>
      <c r="G178" s="123">
        <f>((E178*8)+(F178*4))/12</f>
        <v>2417</v>
      </c>
      <c r="H178" s="60">
        <v>2417</v>
      </c>
      <c r="I178" s="60">
        <v>2417</v>
      </c>
      <c r="J178" s="75">
        <f>K178</f>
        <v>3978.73</v>
      </c>
      <c r="K178" s="46">
        <v>3978.73</v>
      </c>
      <c r="L178" s="184" t="s">
        <v>104</v>
      </c>
      <c r="M178" s="72" t="s">
        <v>104</v>
      </c>
      <c r="N178" s="73">
        <f>SUM(O178:R178)</f>
        <v>9616590.4100000001</v>
      </c>
      <c r="O178" s="73">
        <f>G178*K178</f>
        <v>9616590.4100000001</v>
      </c>
      <c r="P178" s="73" t="s">
        <v>104</v>
      </c>
      <c r="Q178" s="73"/>
      <c r="R178" s="75" t="s">
        <v>104</v>
      </c>
      <c r="S178" s="205"/>
      <c r="T178" s="46">
        <f>H178*J178</f>
        <v>9616590.4100000001</v>
      </c>
      <c r="U178" s="46">
        <f t="shared" ref="U178:U183" si="49">T178</f>
        <v>9616590.4100000001</v>
      </c>
      <c r="V178" s="182">
        <v>56750133</v>
      </c>
      <c r="W178" s="192">
        <f>V178-T188</f>
        <v>-4131594.1700000018</v>
      </c>
      <c r="X178" s="276">
        <f>G162+G171+G177</f>
        <v>823</v>
      </c>
    </row>
    <row r="179" spans="1:27" ht="128.4" customHeight="1">
      <c r="A179" s="528"/>
      <c r="B179" s="137"/>
      <c r="C179" s="61" t="s">
        <v>254</v>
      </c>
      <c r="D179" s="64" t="s">
        <v>101</v>
      </c>
      <c r="E179" s="122"/>
      <c r="F179" s="122"/>
      <c r="G179" s="213">
        <v>495</v>
      </c>
      <c r="H179" s="59">
        <v>495</v>
      </c>
      <c r="I179" s="59">
        <v>495</v>
      </c>
      <c r="J179" s="73" t="s">
        <v>104</v>
      </c>
      <c r="K179" s="205" t="s">
        <v>104</v>
      </c>
      <c r="L179" s="185" t="s">
        <v>104</v>
      </c>
      <c r="M179" s="100">
        <v>0</v>
      </c>
      <c r="N179" s="73">
        <f>R179</f>
        <v>0</v>
      </c>
      <c r="O179" s="73"/>
      <c r="P179" s="73"/>
      <c r="Q179" s="73"/>
      <c r="R179" s="75">
        <f>G179*M179</f>
        <v>0</v>
      </c>
      <c r="S179" s="205"/>
      <c r="T179" s="46">
        <f>N179</f>
        <v>0</v>
      </c>
      <c r="U179" s="46">
        <f t="shared" si="49"/>
        <v>0</v>
      </c>
      <c r="W179" s="182">
        <f>W178/3</f>
        <v>-1377198.0566666673</v>
      </c>
      <c r="X179" s="192">
        <f>V188-R179</f>
        <v>10442370.34</v>
      </c>
      <c r="Y179" s="182">
        <f>X179/G188</f>
        <v>12688.177812879709</v>
      </c>
      <c r="Z179" s="182">
        <f>Y179*X178</f>
        <v>10442370.34</v>
      </c>
    </row>
    <row r="180" spans="1:27">
      <c r="A180" s="528"/>
      <c r="B180" s="69"/>
      <c r="C180" s="290" t="s">
        <v>106</v>
      </c>
      <c r="D180" s="69"/>
      <c r="E180" s="122">
        <f>SUM(E178:E178)</f>
        <v>2417</v>
      </c>
      <c r="F180" s="122">
        <f>SUM(F178:F178)</f>
        <v>2417</v>
      </c>
      <c r="G180" s="122">
        <f>SUM(G178:G178)</f>
        <v>2417</v>
      </c>
      <c r="H180" s="60">
        <f>SUM(H178:H178)</f>
        <v>2417</v>
      </c>
      <c r="I180" s="60">
        <f>SUM(I178:I178)</f>
        <v>2417</v>
      </c>
      <c r="J180" s="73" t="s">
        <v>104</v>
      </c>
      <c r="K180" s="205" t="s">
        <v>104</v>
      </c>
      <c r="L180" s="185" t="s">
        <v>104</v>
      </c>
      <c r="M180" s="444">
        <f>SUM(M178:M178)</f>
        <v>0</v>
      </c>
      <c r="N180" s="103">
        <f>SUM(N178:N179)</f>
        <v>9616590.4100000001</v>
      </c>
      <c r="O180" s="74">
        <f>SUM(O178:O178)</f>
        <v>9616590.4100000001</v>
      </c>
      <c r="P180" s="74">
        <f>SUM(P178:P178)</f>
        <v>0</v>
      </c>
      <c r="Q180" s="74"/>
      <c r="R180" s="444">
        <f>SUM(R178:R179)</f>
        <v>0</v>
      </c>
      <c r="S180" s="185"/>
      <c r="T180" s="185">
        <f>SUM(T178:T179)</f>
        <v>9616590.4100000001</v>
      </c>
      <c r="U180" s="46">
        <f t="shared" si="49"/>
        <v>9616590.4100000001</v>
      </c>
      <c r="Z180" s="192">
        <f>Z179+R179</f>
        <v>10442370.34</v>
      </c>
    </row>
    <row r="181" spans="1:27" ht="13.95" hidden="1" customHeight="1">
      <c r="A181" s="528"/>
      <c r="B181" s="69" t="s">
        <v>282</v>
      </c>
      <c r="C181" s="66" t="s">
        <v>226</v>
      </c>
      <c r="D181" s="69"/>
      <c r="E181" s="122"/>
      <c r="F181" s="122"/>
      <c r="G181" s="122"/>
      <c r="H181" s="60"/>
      <c r="I181" s="60"/>
      <c r="J181" s="73"/>
      <c r="K181" s="205"/>
      <c r="L181" s="185"/>
      <c r="M181" s="444"/>
      <c r="N181" s="74">
        <f>P181</f>
        <v>0</v>
      </c>
      <c r="O181" s="74"/>
      <c r="P181" s="74"/>
      <c r="Q181" s="74"/>
      <c r="R181" s="444"/>
      <c r="S181" s="185"/>
      <c r="T181" s="46">
        <f>P181</f>
        <v>0</v>
      </c>
      <c r="U181" s="46">
        <f t="shared" si="49"/>
        <v>0</v>
      </c>
      <c r="Z181" s="192"/>
    </row>
    <row r="182" spans="1:27" ht="13.95" hidden="1" customHeight="1">
      <c r="A182" s="528"/>
      <c r="B182" s="89" t="s">
        <v>225</v>
      </c>
      <c r="C182" s="181" t="s">
        <v>219</v>
      </c>
      <c r="D182" s="64" t="s">
        <v>101</v>
      </c>
      <c r="E182" s="122"/>
      <c r="F182" s="122"/>
      <c r="G182" s="122">
        <v>4</v>
      </c>
      <c r="H182" s="60">
        <v>4</v>
      </c>
      <c r="I182" s="60">
        <v>4</v>
      </c>
      <c r="J182" s="73"/>
      <c r="K182" s="205"/>
      <c r="L182" s="185"/>
      <c r="M182" s="444"/>
      <c r="N182" s="74">
        <f>S182</f>
        <v>0</v>
      </c>
      <c r="O182" s="74"/>
      <c r="P182" s="74"/>
      <c r="Q182" s="74"/>
      <c r="R182" s="444"/>
      <c r="S182" s="185"/>
      <c r="T182" s="46">
        <f>S182</f>
        <v>0</v>
      </c>
      <c r="U182" s="46">
        <f t="shared" si="49"/>
        <v>0</v>
      </c>
      <c r="V182" s="192"/>
    </row>
    <row r="183" spans="1:27" ht="13.95" hidden="1" customHeight="1">
      <c r="A183" s="528"/>
      <c r="B183" s="89" t="s">
        <v>225</v>
      </c>
      <c r="C183" s="181" t="s">
        <v>226</v>
      </c>
      <c r="D183" s="64" t="s">
        <v>101</v>
      </c>
      <c r="E183" s="122"/>
      <c r="F183" s="122"/>
      <c r="G183" s="122"/>
      <c r="H183" s="60"/>
      <c r="I183" s="60"/>
      <c r="J183" s="73"/>
      <c r="K183" s="205"/>
      <c r="L183" s="185"/>
      <c r="M183" s="444"/>
      <c r="N183" s="74">
        <f>S183</f>
        <v>0</v>
      </c>
      <c r="O183" s="74"/>
      <c r="P183" s="74"/>
      <c r="Q183" s="74"/>
      <c r="R183" s="444"/>
      <c r="S183" s="185"/>
      <c r="T183" s="46">
        <f>Q183</f>
        <v>0</v>
      </c>
      <c r="U183" s="46">
        <f t="shared" si="49"/>
        <v>0</v>
      </c>
      <c r="V183" s="192"/>
    </row>
    <row r="184" spans="1:27" ht="13.95" hidden="1" customHeight="1">
      <c r="A184" s="528"/>
      <c r="B184" s="89" t="s">
        <v>281</v>
      </c>
      <c r="C184" s="181" t="s">
        <v>219</v>
      </c>
      <c r="D184" s="64"/>
      <c r="E184" s="122"/>
      <c r="F184" s="122"/>
      <c r="G184" s="122"/>
      <c r="H184" s="60"/>
      <c r="I184" s="60"/>
      <c r="J184" s="73"/>
      <c r="K184" s="205"/>
      <c r="L184" s="185"/>
      <c r="M184" s="444"/>
      <c r="N184" s="74">
        <f>S184</f>
        <v>0</v>
      </c>
      <c r="O184" s="74"/>
      <c r="P184" s="74"/>
      <c r="Q184" s="74"/>
      <c r="R184" s="444"/>
      <c r="S184" s="185"/>
      <c r="T184" s="46"/>
      <c r="U184" s="46"/>
      <c r="V184" s="192"/>
    </row>
    <row r="185" spans="1:27">
      <c r="A185" s="528"/>
      <c r="B185" s="89" t="s">
        <v>288</v>
      </c>
      <c r="C185" s="181" t="s">
        <v>226</v>
      </c>
      <c r="D185" s="64"/>
      <c r="E185" s="122">
        <v>31</v>
      </c>
      <c r="F185" s="122">
        <v>31</v>
      </c>
      <c r="G185" s="122">
        <v>31</v>
      </c>
      <c r="H185" s="60">
        <v>31</v>
      </c>
      <c r="I185" s="60">
        <v>31</v>
      </c>
      <c r="J185" s="73"/>
      <c r="K185" s="205"/>
      <c r="L185" s="185"/>
      <c r="M185" s="444"/>
      <c r="N185" s="74">
        <f>O185</f>
        <v>3632580</v>
      </c>
      <c r="O185" s="74">
        <v>3632580</v>
      </c>
      <c r="P185" s="74"/>
      <c r="Q185" s="74"/>
      <c r="R185" s="444"/>
      <c r="S185" s="185"/>
      <c r="T185" s="46">
        <v>3632580</v>
      </c>
      <c r="U185" s="46">
        <f>T185</f>
        <v>3632580</v>
      </c>
      <c r="V185" s="192"/>
    </row>
    <row r="186" spans="1:27" ht="13.95" hidden="1" customHeight="1">
      <c r="A186" s="528"/>
      <c r="B186" s="89" t="s">
        <v>257</v>
      </c>
      <c r="C186" s="181" t="s">
        <v>226</v>
      </c>
      <c r="D186" s="64"/>
      <c r="E186" s="122"/>
      <c r="F186" s="122"/>
      <c r="G186" s="122"/>
      <c r="H186" s="60"/>
      <c r="I186" s="60"/>
      <c r="J186" s="73"/>
      <c r="K186" s="205"/>
      <c r="L186" s="185"/>
      <c r="M186" s="444"/>
      <c r="N186" s="74">
        <f>O186</f>
        <v>0</v>
      </c>
      <c r="O186" s="74"/>
      <c r="P186" s="74"/>
      <c r="Q186" s="74"/>
      <c r="R186" s="444"/>
      <c r="S186" s="185"/>
      <c r="T186" s="46">
        <f>O186</f>
        <v>0</v>
      </c>
      <c r="U186" s="46">
        <f>T186</f>
        <v>0</v>
      </c>
    </row>
    <row r="187" spans="1:27" ht="13.95" hidden="1" customHeight="1">
      <c r="A187" s="528"/>
      <c r="B187" s="89" t="s">
        <v>289</v>
      </c>
      <c r="C187" s="181" t="s">
        <v>226</v>
      </c>
      <c r="D187" s="64"/>
      <c r="E187" s="122"/>
      <c r="F187" s="122"/>
      <c r="G187" s="122"/>
      <c r="H187" s="60"/>
      <c r="I187" s="60"/>
      <c r="J187" s="73"/>
      <c r="K187" s="205"/>
      <c r="L187" s="185"/>
      <c r="M187" s="444"/>
      <c r="N187" s="74">
        <f>P187</f>
        <v>0</v>
      </c>
      <c r="O187" s="74"/>
      <c r="P187" s="74"/>
      <c r="Q187" s="74"/>
      <c r="R187" s="444"/>
      <c r="S187" s="185"/>
      <c r="T187" s="46"/>
      <c r="U187" s="46">
        <f>T187</f>
        <v>0</v>
      </c>
    </row>
    <row r="188" spans="1:27">
      <c r="A188" s="528"/>
      <c r="B188" s="101" t="s">
        <v>112</v>
      </c>
      <c r="C188" s="101"/>
      <c r="D188" s="69"/>
      <c r="E188" s="102">
        <f>E162+E171+E177</f>
        <v>823</v>
      </c>
      <c r="F188" s="102">
        <f>F162+F171+F177</f>
        <v>823</v>
      </c>
      <c r="G188" s="102">
        <f>G162+G171+G177</f>
        <v>823</v>
      </c>
      <c r="H188" s="102">
        <f>H162+H171+H177</f>
        <v>823</v>
      </c>
      <c r="I188" s="102">
        <f>I162+I171+I177</f>
        <v>823</v>
      </c>
      <c r="J188" s="104"/>
      <c r="K188" s="219"/>
      <c r="L188" s="138"/>
      <c r="M188" s="136"/>
      <c r="N188" s="103">
        <f>SUM(O188:S188)</f>
        <v>60881727.170000002</v>
      </c>
      <c r="O188" s="103">
        <f>O162+O171+O177+O180+O181+O182+O183+O185+O187</f>
        <v>44226168.120000005</v>
      </c>
      <c r="P188" s="103">
        <f>P162+P171+P177+P180+P181+P182+P183+P187</f>
        <v>3293637.7699999996</v>
      </c>
      <c r="Q188" s="103">
        <f>Q162+Q171+Q177+Q180+Q181+Q182+Q183</f>
        <v>0</v>
      </c>
      <c r="R188" s="136">
        <f>R162+R171+R177+R180+R181+R182+R183+R184</f>
        <v>13361921.280000001</v>
      </c>
      <c r="S188" s="138">
        <f>S162+S171+S177+S180+S181+S182+S183+S184</f>
        <v>0</v>
      </c>
      <c r="T188" s="138">
        <f>T162+T171+T177+T180+T181+T182+T183+T184+T185+T186+T187</f>
        <v>60881727.170000002</v>
      </c>
      <c r="U188" s="138">
        <f>U162+U171+U177+U180+U181+U182+U183+U184+U185+U186+U187</f>
        <v>60881727.170000002</v>
      </c>
      <c r="V188" s="182">
        <v>10442370.34</v>
      </c>
      <c r="W188" s="192">
        <f>V188-R188</f>
        <v>-2919550.9400000013</v>
      </c>
      <c r="X188" s="182">
        <f>W188/G188</f>
        <v>-3547.4495018226021</v>
      </c>
      <c r="Z188" s="192">
        <f>N188-T188</f>
        <v>0</v>
      </c>
      <c r="AA188" s="281"/>
    </row>
    <row r="189" spans="1:27" ht="193.2">
      <c r="A189" s="528" t="s">
        <v>119</v>
      </c>
      <c r="B189" s="529" t="s">
        <v>237</v>
      </c>
      <c r="C189" s="61" t="s">
        <v>120</v>
      </c>
      <c r="D189" s="62" t="s">
        <v>121</v>
      </c>
      <c r="E189" s="213"/>
      <c r="F189" s="213"/>
      <c r="G189" s="213"/>
      <c r="H189" s="213"/>
      <c r="I189" s="213"/>
      <c r="J189" s="107" t="s">
        <v>383</v>
      </c>
      <c r="K189" s="218" t="s">
        <v>384</v>
      </c>
      <c r="L189" s="209" t="s">
        <v>185</v>
      </c>
      <c r="M189" s="443" t="s">
        <v>399</v>
      </c>
      <c r="N189" s="71">
        <f>SUM(O189:R189)</f>
        <v>0</v>
      </c>
      <c r="O189" s="71">
        <f>((((676205.46*0/12*8)+(676205.46*0/12*0))+((1351.63*0)/12*8+(1351.63*0)/12*4)))</f>
        <v>0</v>
      </c>
      <c r="P189" s="71">
        <f>((4001.99*0)/12*8)+((4001.99*0)/12*4)</f>
        <v>0</v>
      </c>
      <c r="Q189" s="71"/>
      <c r="R189" s="75">
        <f>((26907.25*0)/12*8)+((26907.25*0)/12*4)</f>
        <v>0</v>
      </c>
      <c r="S189" s="46"/>
      <c r="T189" s="46">
        <f>N189</f>
        <v>0</v>
      </c>
      <c r="U189" s="46">
        <f>T189</f>
        <v>0</v>
      </c>
      <c r="V189" s="182">
        <f>N189/3</f>
        <v>0</v>
      </c>
      <c r="W189" s="182">
        <f>12300.53*67</f>
        <v>824135.51</v>
      </c>
      <c r="X189" s="182">
        <f>1342.39+12011.78+(4001.99*2.3654)</f>
        <v>22820.477146000001</v>
      </c>
      <c r="Y189" s="182">
        <f>4001.99*2.3654</f>
        <v>9466.307146000001</v>
      </c>
    </row>
    <row r="190" spans="1:27" ht="179.4">
      <c r="A190" s="528"/>
      <c r="B190" s="529"/>
      <c r="C190" s="61" t="s">
        <v>128</v>
      </c>
      <c r="D190" s="62" t="s">
        <v>121</v>
      </c>
      <c r="E190" s="213" t="s">
        <v>356</v>
      </c>
      <c r="F190" s="213" t="s">
        <v>356</v>
      </c>
      <c r="G190" s="213" t="s">
        <v>356</v>
      </c>
      <c r="H190" s="213" t="s">
        <v>356</v>
      </c>
      <c r="I190" s="213" t="s">
        <v>356</v>
      </c>
      <c r="J190" s="107" t="s">
        <v>385</v>
      </c>
      <c r="K190" s="218" t="s">
        <v>386</v>
      </c>
      <c r="L190" s="209" t="s">
        <v>185</v>
      </c>
      <c r="M190" s="443" t="s">
        <v>399</v>
      </c>
      <c r="N190" s="71">
        <f>SUM(O190:R190)</f>
        <v>5915823.7999999989</v>
      </c>
      <c r="O190" s="71">
        <f>((((634729.97*5)/12*8+(634729.97*5)/12*4)+((1351.63*85)/12*8+(1351.63*85)/12*4)))</f>
        <v>3288538.3999999994</v>
      </c>
      <c r="P190" s="71">
        <f>((4001.99*85)/12*8)+((4001.99*85)/12*4)</f>
        <v>340169.14999999997</v>
      </c>
      <c r="Q190" s="71"/>
      <c r="R190" s="75">
        <f>((26907.25*85)/12*8)+((26907.25*85)/12*4)</f>
        <v>2287116.25</v>
      </c>
      <c r="S190" s="46"/>
      <c r="T190" s="46">
        <f>N190</f>
        <v>5915823.7999999989</v>
      </c>
      <c r="U190" s="46">
        <f>T190</f>
        <v>5915823.7999999989</v>
      </c>
      <c r="W190" s="182">
        <f>12300.53*19</f>
        <v>233710.07</v>
      </c>
    </row>
    <row r="191" spans="1:27" ht="82.8">
      <c r="A191" s="528"/>
      <c r="B191" s="529"/>
      <c r="C191" s="63" t="s">
        <v>102</v>
      </c>
      <c r="D191" s="64" t="s">
        <v>101</v>
      </c>
      <c r="E191" s="214"/>
      <c r="F191" s="214"/>
      <c r="G191" s="214"/>
      <c r="H191" s="65"/>
      <c r="I191" s="65"/>
      <c r="J191" s="150" t="s">
        <v>103</v>
      </c>
      <c r="K191" s="206" t="s">
        <v>103</v>
      </c>
      <c r="L191" s="206" t="s">
        <v>103</v>
      </c>
      <c r="M191" s="150" t="s">
        <v>103</v>
      </c>
      <c r="N191" s="71">
        <f t="shared" ref="N191:N196" si="50">SUM(O191:R191)</f>
        <v>0</v>
      </c>
      <c r="O191" s="150" t="s">
        <v>103</v>
      </c>
      <c r="P191" s="150" t="s">
        <v>103</v>
      </c>
      <c r="Q191" s="150"/>
      <c r="R191" s="150" t="s">
        <v>103</v>
      </c>
      <c r="S191" s="206"/>
      <c r="T191" s="46">
        <f t="shared" ref="T191:T196" si="51">N191</f>
        <v>0</v>
      </c>
      <c r="U191" s="46">
        <f t="shared" ref="U191:U196" si="52">T191</f>
        <v>0</v>
      </c>
    </row>
    <row r="192" spans="1:27">
      <c r="A192" s="528"/>
      <c r="B192" s="529"/>
      <c r="C192" s="63" t="s">
        <v>169</v>
      </c>
      <c r="D192" s="64" t="s">
        <v>101</v>
      </c>
      <c r="E192" s="123">
        <v>2</v>
      </c>
      <c r="F192" s="123">
        <v>2</v>
      </c>
      <c r="G192" s="123">
        <f>((E192*8)+(F192*4))/12</f>
        <v>2</v>
      </c>
      <c r="H192" s="59">
        <v>2</v>
      </c>
      <c r="I192" s="59">
        <v>2</v>
      </c>
      <c r="J192" s="75">
        <f>K192</f>
        <v>84089.75</v>
      </c>
      <c r="K192" s="46">
        <v>84089.75</v>
      </c>
      <c r="L192" s="206"/>
      <c r="M192" s="150"/>
      <c r="N192" s="71"/>
      <c r="O192" s="71">
        <f>G192*K192</f>
        <v>168179.5</v>
      </c>
      <c r="P192" s="150"/>
      <c r="Q192" s="150"/>
      <c r="R192" s="150"/>
      <c r="S192" s="206"/>
      <c r="T192" s="46">
        <f>H192*K192</f>
        <v>168179.5</v>
      </c>
      <c r="U192" s="46">
        <f>T192</f>
        <v>168179.5</v>
      </c>
    </row>
    <row r="193" spans="1:24">
      <c r="A193" s="528"/>
      <c r="B193" s="529"/>
      <c r="C193" s="63" t="s">
        <v>166</v>
      </c>
      <c r="D193" s="64" t="s">
        <v>101</v>
      </c>
      <c r="E193" s="123">
        <v>4</v>
      </c>
      <c r="F193" s="123">
        <v>4</v>
      </c>
      <c r="G193" s="123">
        <f>((E193*8)+(F193*4))/12</f>
        <v>4</v>
      </c>
      <c r="H193" s="59">
        <v>4</v>
      </c>
      <c r="I193" s="59">
        <v>4</v>
      </c>
      <c r="J193" s="75">
        <f>K193</f>
        <v>80444.08</v>
      </c>
      <c r="K193" s="46">
        <v>80444.08</v>
      </c>
      <c r="L193" s="184"/>
      <c r="M193" s="72"/>
      <c r="N193" s="71">
        <f t="shared" si="50"/>
        <v>321776.32</v>
      </c>
      <c r="O193" s="71">
        <f t="shared" ref="O193:O194" si="53">G193*K193</f>
        <v>321776.32</v>
      </c>
      <c r="P193" s="71"/>
      <c r="Q193" s="71"/>
      <c r="R193" s="445"/>
      <c r="S193" s="207"/>
      <c r="T193" s="46">
        <f t="shared" si="51"/>
        <v>321776.32</v>
      </c>
      <c r="U193" s="46">
        <f t="shared" si="52"/>
        <v>321776.32</v>
      </c>
    </row>
    <row r="194" spans="1:24">
      <c r="A194" s="528"/>
      <c r="B194" s="529"/>
      <c r="C194" s="63" t="s">
        <v>316</v>
      </c>
      <c r="D194" s="64" t="s">
        <v>101</v>
      </c>
      <c r="E194" s="123">
        <v>1</v>
      </c>
      <c r="F194" s="123">
        <v>1</v>
      </c>
      <c r="G194" s="123">
        <f>((E194*8)+(F194*4))/12</f>
        <v>1</v>
      </c>
      <c r="H194" s="59">
        <v>1</v>
      </c>
      <c r="I194" s="59">
        <v>1</v>
      </c>
      <c r="J194" s="75">
        <f>K194</f>
        <v>361426.05</v>
      </c>
      <c r="K194" s="46">
        <v>361426.05</v>
      </c>
      <c r="L194" s="184"/>
      <c r="M194" s="72"/>
      <c r="N194" s="71">
        <f t="shared" si="50"/>
        <v>361426.05</v>
      </c>
      <c r="O194" s="71">
        <f t="shared" si="53"/>
        <v>361426.05</v>
      </c>
      <c r="P194" s="71"/>
      <c r="Q194" s="71"/>
      <c r="R194" s="445"/>
      <c r="S194" s="207"/>
      <c r="T194" s="46">
        <f t="shared" si="51"/>
        <v>361426.05</v>
      </c>
      <c r="U194" s="46">
        <f t="shared" si="52"/>
        <v>361426.05</v>
      </c>
    </row>
    <row r="195" spans="1:24" ht="83.4" customHeight="1">
      <c r="A195" s="528"/>
      <c r="B195" s="529"/>
      <c r="C195" s="61" t="s">
        <v>173</v>
      </c>
      <c r="D195" s="64" t="s">
        <v>101</v>
      </c>
      <c r="E195" s="123">
        <v>1</v>
      </c>
      <c r="F195" s="123">
        <v>1</v>
      </c>
      <c r="G195" s="123">
        <f>((E195*8)+(F195*4))/12</f>
        <v>1</v>
      </c>
      <c r="H195" s="59">
        <v>1</v>
      </c>
      <c r="I195" s="59">
        <v>1</v>
      </c>
      <c r="J195" s="75">
        <f>K195</f>
        <v>182668.04</v>
      </c>
      <c r="K195" s="46">
        <f>181316.41+1351.63</f>
        <v>182668.04</v>
      </c>
      <c r="L195" s="209" t="s">
        <v>185</v>
      </c>
      <c r="M195" s="443" t="s">
        <v>399</v>
      </c>
      <c r="N195" s="71">
        <f t="shared" si="50"/>
        <v>213577.28</v>
      </c>
      <c r="O195" s="71">
        <f>G195*K195</f>
        <v>182668.04</v>
      </c>
      <c r="P195" s="71">
        <f>G195*4001.99</f>
        <v>4001.99</v>
      </c>
      <c r="Q195" s="71"/>
      <c r="R195" s="283">
        <f>G195*26907.25</f>
        <v>26907.25</v>
      </c>
      <c r="S195" s="207"/>
      <c r="T195" s="46">
        <f>N195</f>
        <v>213577.28</v>
      </c>
      <c r="U195" s="46">
        <f t="shared" si="52"/>
        <v>213577.28</v>
      </c>
    </row>
    <row r="196" spans="1:24" ht="82.8">
      <c r="A196" s="528"/>
      <c r="B196" s="529"/>
      <c r="C196" s="61" t="s">
        <v>174</v>
      </c>
      <c r="D196" s="64" t="s">
        <v>101</v>
      </c>
      <c r="E196" s="123"/>
      <c r="F196" s="123"/>
      <c r="G196" s="123">
        <f>((E196*8)+(F196*4))/12</f>
        <v>0</v>
      </c>
      <c r="H196" s="59"/>
      <c r="I196" s="59"/>
      <c r="J196" s="75">
        <f>K196</f>
        <v>25935.439999999999</v>
      </c>
      <c r="K196" s="46">
        <v>25935.439999999999</v>
      </c>
      <c r="L196" s="203" t="s">
        <v>104</v>
      </c>
      <c r="M196" s="283" t="s">
        <v>104</v>
      </c>
      <c r="N196" s="71">
        <f t="shared" si="50"/>
        <v>0</v>
      </c>
      <c r="O196" s="71">
        <f>G196*K196</f>
        <v>0</v>
      </c>
      <c r="P196" s="71" t="s">
        <v>104</v>
      </c>
      <c r="Q196" s="71"/>
      <c r="R196" s="445" t="s">
        <v>104</v>
      </c>
      <c r="S196" s="207"/>
      <c r="T196" s="46">
        <f t="shared" si="51"/>
        <v>0</v>
      </c>
      <c r="U196" s="46">
        <f t="shared" si="52"/>
        <v>0</v>
      </c>
    </row>
    <row r="197" spans="1:24">
      <c r="A197" s="528"/>
      <c r="B197" s="529"/>
      <c r="C197" s="290" t="s">
        <v>106</v>
      </c>
      <c r="D197" s="67"/>
      <c r="E197" s="213" t="s">
        <v>357</v>
      </c>
      <c r="F197" s="213" t="s">
        <v>357</v>
      </c>
      <c r="G197" s="213" t="s">
        <v>357</v>
      </c>
      <c r="H197" s="213" t="s">
        <v>357</v>
      </c>
      <c r="I197" s="213" t="s">
        <v>357</v>
      </c>
      <c r="J197" s="71" t="s">
        <v>104</v>
      </c>
      <c r="K197" s="203" t="s">
        <v>104</v>
      </c>
      <c r="L197" s="203" t="s">
        <v>104</v>
      </c>
      <c r="M197" s="283" t="s">
        <v>104</v>
      </c>
      <c r="N197" s="118">
        <f>SUM(O197:R197)</f>
        <v>6980782.9499999983</v>
      </c>
      <c r="O197" s="71">
        <f>SUM(O189:O196)</f>
        <v>4322588.3099999987</v>
      </c>
      <c r="P197" s="71">
        <f>SUM(P189:P196)</f>
        <v>344171.13999999996</v>
      </c>
      <c r="Q197" s="71"/>
      <c r="R197" s="445">
        <f>SUM(R189:R196)</f>
        <v>2314023.5</v>
      </c>
      <c r="S197" s="203"/>
      <c r="T197" s="282">
        <f>SUM(T189:T196)</f>
        <v>6980782.9499999993</v>
      </c>
      <c r="U197" s="203">
        <f>SUM(U189:U196)</f>
        <v>6980782.9499999993</v>
      </c>
    </row>
    <row r="198" spans="1:24" ht="193.2">
      <c r="A198" s="528"/>
      <c r="B198" s="529" t="s">
        <v>238</v>
      </c>
      <c r="C198" s="61" t="s">
        <v>120</v>
      </c>
      <c r="D198" s="62" t="s">
        <v>121</v>
      </c>
      <c r="E198" s="213" t="s">
        <v>359</v>
      </c>
      <c r="F198" s="213" t="s">
        <v>359</v>
      </c>
      <c r="G198" s="213" t="s">
        <v>359</v>
      </c>
      <c r="H198" s="213" t="s">
        <v>359</v>
      </c>
      <c r="I198" s="213" t="s">
        <v>359</v>
      </c>
      <c r="J198" s="107" t="s">
        <v>387</v>
      </c>
      <c r="K198" s="218" t="s">
        <v>388</v>
      </c>
      <c r="L198" s="209" t="s">
        <v>185</v>
      </c>
      <c r="M198" s="443" t="s">
        <v>400</v>
      </c>
      <c r="N198" s="71">
        <f>SUM(O198:R198)</f>
        <v>1748802.97</v>
      </c>
      <c r="O198" s="71">
        <f>((((1000929.97*1)/12*8+(1000929.97*1)/12*4)+((1649.65*21)/12*8+(1649.65*21)/12*4)))</f>
        <v>1035572.62</v>
      </c>
      <c r="P198" s="71">
        <f>((4001.99*21)/12*8)+((4001.99*21)/12*4)</f>
        <v>84041.79</v>
      </c>
      <c r="Q198" s="71"/>
      <c r="R198" s="283">
        <f>((29961.36*21)/12*8)+((29961.36*21)/12*4)</f>
        <v>629188.56000000006</v>
      </c>
      <c r="S198" s="203"/>
      <c r="T198" s="46">
        <f>N198</f>
        <v>1748802.97</v>
      </c>
      <c r="U198" s="46">
        <f>T198</f>
        <v>1748802.97</v>
      </c>
      <c r="V198" s="277"/>
      <c r="W198" s="182">
        <f>12300.53*86</f>
        <v>1057845.58</v>
      </c>
    </row>
    <row r="199" spans="1:24" ht="179.4">
      <c r="A199" s="528"/>
      <c r="B199" s="529"/>
      <c r="C199" s="61" t="s">
        <v>128</v>
      </c>
      <c r="D199" s="62" t="s">
        <v>121</v>
      </c>
      <c r="E199" s="190" t="s">
        <v>360</v>
      </c>
      <c r="F199" s="190" t="s">
        <v>360</v>
      </c>
      <c r="G199" s="190" t="s">
        <v>360</v>
      </c>
      <c r="H199" s="190" t="s">
        <v>360</v>
      </c>
      <c r="I199" s="190" t="s">
        <v>360</v>
      </c>
      <c r="J199" s="107" t="s">
        <v>389</v>
      </c>
      <c r="K199" s="218" t="s">
        <v>390</v>
      </c>
      <c r="L199" s="209" t="s">
        <v>185</v>
      </c>
      <c r="M199" s="443" t="s">
        <v>400</v>
      </c>
      <c r="N199" s="71">
        <f>SUM(O199:R199)</f>
        <v>6743601.1000000006</v>
      </c>
      <c r="O199" s="71">
        <f>((((793157.42*5)/12*8+(793157.42*5)/12*4)+((1649.65*78)/12*8+(1649.65*78)/12*4)))</f>
        <v>4094459.8000000007</v>
      </c>
      <c r="P199" s="71">
        <f>((4001.99*78)/12*8)+((4001.99*78)/12*4)</f>
        <v>312155.21999999997</v>
      </c>
      <c r="Q199" s="71"/>
      <c r="R199" s="283">
        <f>((29961.36*78)/12*8)+((29961.36*78)/12*4)</f>
        <v>2336986.08</v>
      </c>
      <c r="S199" s="203"/>
      <c r="T199" s="46">
        <f>N199</f>
        <v>6743601.1000000006</v>
      </c>
      <c r="U199" s="46">
        <f>T199</f>
        <v>6743601.1000000006</v>
      </c>
      <c r="W199" s="182">
        <f>12300.53*29</f>
        <v>356715.37</v>
      </c>
      <c r="X199" s="182">
        <f>1638.38+12011.78+(4001.99*2.3654)</f>
        <v>23116.467146000003</v>
      </c>
    </row>
    <row r="200" spans="1:24" ht="82.8">
      <c r="A200" s="528"/>
      <c r="B200" s="529"/>
      <c r="C200" s="63" t="s">
        <v>163</v>
      </c>
      <c r="D200" s="64" t="s">
        <v>101</v>
      </c>
      <c r="E200" s="123" t="s">
        <v>104</v>
      </c>
      <c r="F200" s="123" t="s">
        <v>104</v>
      </c>
      <c r="G200" s="123" t="s">
        <v>104</v>
      </c>
      <c r="H200" s="59" t="s">
        <v>104</v>
      </c>
      <c r="I200" s="59" t="s">
        <v>104</v>
      </c>
      <c r="J200" s="59" t="s">
        <v>104</v>
      </c>
      <c r="K200" s="123" t="s">
        <v>104</v>
      </c>
      <c r="L200" s="123" t="s">
        <v>104</v>
      </c>
      <c r="M200" s="121" t="s">
        <v>104</v>
      </c>
      <c r="N200" s="71"/>
      <c r="O200" s="71"/>
      <c r="P200" s="59" t="s">
        <v>104</v>
      </c>
      <c r="Q200" s="59"/>
      <c r="R200" s="121" t="s">
        <v>104</v>
      </c>
      <c r="S200" s="123"/>
      <c r="T200" s="46"/>
      <c r="U200" s="46"/>
    </row>
    <row r="201" spans="1:24">
      <c r="A201" s="528"/>
      <c r="B201" s="271"/>
      <c r="C201" s="63" t="s">
        <v>165</v>
      </c>
      <c r="D201" s="64"/>
      <c r="E201" s="122"/>
      <c r="F201" s="122"/>
      <c r="G201" s="123">
        <f>((E201*8)+(F201*4))/12</f>
        <v>0</v>
      </c>
      <c r="H201" s="60"/>
      <c r="I201" s="60"/>
      <c r="J201" s="75">
        <f>K201</f>
        <v>112309.99</v>
      </c>
      <c r="K201" s="46">
        <v>112309.99</v>
      </c>
      <c r="L201" s="123" t="s">
        <v>104</v>
      </c>
      <c r="M201" s="121" t="s">
        <v>104</v>
      </c>
      <c r="N201" s="71">
        <f>O201</f>
        <v>0</v>
      </c>
      <c r="O201" s="73">
        <f>G201*K201</f>
        <v>0</v>
      </c>
      <c r="P201" s="59" t="s">
        <v>104</v>
      </c>
      <c r="Q201" s="59"/>
      <c r="R201" s="121" t="s">
        <v>104</v>
      </c>
      <c r="S201" s="123"/>
      <c r="T201" s="46">
        <f>H201*K201</f>
        <v>0</v>
      </c>
      <c r="U201" s="46">
        <f>I201*K201</f>
        <v>0</v>
      </c>
    </row>
    <row r="202" spans="1:24">
      <c r="A202" s="528"/>
      <c r="B202" s="271"/>
      <c r="C202" s="63" t="s">
        <v>168</v>
      </c>
      <c r="D202" s="64"/>
      <c r="E202" s="122"/>
      <c r="F202" s="122"/>
      <c r="G202" s="123">
        <f>((E202*8)+(F202*4))/12</f>
        <v>0</v>
      </c>
      <c r="H202" s="60"/>
      <c r="I202" s="60"/>
      <c r="J202" s="75">
        <f>K202</f>
        <v>28603.17</v>
      </c>
      <c r="K202" s="46">
        <v>28603.17</v>
      </c>
      <c r="L202" s="210" t="s">
        <v>104</v>
      </c>
      <c r="M202" s="121" t="s">
        <v>104</v>
      </c>
      <c r="N202" s="71">
        <f>O202</f>
        <v>0</v>
      </c>
      <c r="O202" s="73">
        <f>G202*K202</f>
        <v>0</v>
      </c>
      <c r="P202" s="59" t="s">
        <v>104</v>
      </c>
      <c r="Q202" s="59"/>
      <c r="R202" s="121" t="s">
        <v>104</v>
      </c>
      <c r="S202" s="123"/>
      <c r="T202" s="46">
        <f>H202*K202</f>
        <v>0</v>
      </c>
      <c r="U202" s="46">
        <f>I202*K202</f>
        <v>0</v>
      </c>
    </row>
    <row r="203" spans="1:24" ht="82.8">
      <c r="A203" s="528"/>
      <c r="B203" s="271"/>
      <c r="C203" s="76" t="s">
        <v>173</v>
      </c>
      <c r="D203" s="64" t="s">
        <v>101</v>
      </c>
      <c r="E203" s="190"/>
      <c r="F203" s="190"/>
      <c r="G203" s="123"/>
      <c r="H203" s="79"/>
      <c r="I203" s="79"/>
      <c r="J203" s="75">
        <f>SUM(K203:M203)</f>
        <v>227861.36</v>
      </c>
      <c r="K203" s="46">
        <f>226211.71+1649.65</f>
        <v>227861.36</v>
      </c>
      <c r="L203" s="209" t="s">
        <v>185</v>
      </c>
      <c r="M203" s="443" t="s">
        <v>400</v>
      </c>
      <c r="N203" s="73">
        <f>SUM(O203:R203)</f>
        <v>0</v>
      </c>
      <c r="O203" s="73">
        <f>G203*K203</f>
        <v>0</v>
      </c>
      <c r="P203" s="73">
        <f>G203*4001.99</f>
        <v>0</v>
      </c>
      <c r="Q203" s="73"/>
      <c r="R203" s="75"/>
      <c r="S203" s="205"/>
      <c r="T203" s="46">
        <f>N203</f>
        <v>0</v>
      </c>
      <c r="U203" s="46">
        <f>T203</f>
        <v>0</v>
      </c>
    </row>
    <row r="204" spans="1:24" ht="82.8">
      <c r="A204" s="528"/>
      <c r="B204" s="271"/>
      <c r="C204" s="61" t="s">
        <v>174</v>
      </c>
      <c r="D204" s="64" t="s">
        <v>101</v>
      </c>
      <c r="E204" s="190">
        <v>3</v>
      </c>
      <c r="F204" s="190">
        <v>3</v>
      </c>
      <c r="G204" s="123">
        <f>((E204*8)+(F204*4))/12</f>
        <v>3</v>
      </c>
      <c r="H204" s="79">
        <v>3</v>
      </c>
      <c r="I204" s="79">
        <v>3</v>
      </c>
      <c r="J204" s="75">
        <f>K204</f>
        <v>41064.449999999997</v>
      </c>
      <c r="K204" s="46">
        <v>41064.449999999997</v>
      </c>
      <c r="L204" s="185"/>
      <c r="M204" s="444"/>
      <c r="N204" s="73">
        <f>O204</f>
        <v>123193.34999999999</v>
      </c>
      <c r="O204" s="73">
        <f>G204*K204</f>
        <v>123193.34999999999</v>
      </c>
      <c r="P204" s="73"/>
      <c r="Q204" s="73"/>
      <c r="R204" s="75"/>
      <c r="S204" s="205"/>
      <c r="T204" s="46">
        <f>H204*K204</f>
        <v>123193.34999999999</v>
      </c>
      <c r="U204" s="46">
        <f>I204*K204</f>
        <v>123193.34999999999</v>
      </c>
    </row>
    <row r="205" spans="1:24">
      <c r="A205" s="528"/>
      <c r="B205" s="271"/>
      <c r="C205" s="290" t="s">
        <v>106</v>
      </c>
      <c r="D205" s="64"/>
      <c r="E205" s="215" t="s">
        <v>141</v>
      </c>
      <c r="F205" s="215" t="s">
        <v>141</v>
      </c>
      <c r="G205" s="215" t="s">
        <v>141</v>
      </c>
      <c r="H205" s="215" t="s">
        <v>141</v>
      </c>
      <c r="I205" s="215" t="s">
        <v>141</v>
      </c>
      <c r="J205" s="73" t="s">
        <v>104</v>
      </c>
      <c r="K205" s="205" t="s">
        <v>104</v>
      </c>
      <c r="L205" s="185" t="s">
        <v>104</v>
      </c>
      <c r="M205" s="444" t="s">
        <v>104</v>
      </c>
      <c r="N205" s="103">
        <f>SUM(O205:R205)</f>
        <v>8615597.4199999999</v>
      </c>
      <c r="O205" s="74">
        <f>SUM(O198:O204)</f>
        <v>5253225.7700000005</v>
      </c>
      <c r="P205" s="74">
        <f>SUM(P198:P204)</f>
        <v>396197.00999999995</v>
      </c>
      <c r="Q205" s="74"/>
      <c r="R205" s="136">
        <f>SUM(R198:R204)</f>
        <v>2966174.64</v>
      </c>
      <c r="S205" s="185"/>
      <c r="T205" s="203">
        <f>SUM(T198:T204)</f>
        <v>8615597.4199999999</v>
      </c>
      <c r="U205" s="185">
        <f>T205</f>
        <v>8615597.4199999999</v>
      </c>
    </row>
    <row r="206" spans="1:24" ht="179.4">
      <c r="A206" s="528"/>
      <c r="B206" s="271" t="s">
        <v>239</v>
      </c>
      <c r="C206" s="61" t="s">
        <v>128</v>
      </c>
      <c r="D206" s="62" t="s">
        <v>121</v>
      </c>
      <c r="E206" s="213" t="s">
        <v>358</v>
      </c>
      <c r="F206" s="213" t="s">
        <v>358</v>
      </c>
      <c r="G206" s="213" t="s">
        <v>358</v>
      </c>
      <c r="H206" s="213" t="s">
        <v>358</v>
      </c>
      <c r="I206" s="213" t="s">
        <v>358</v>
      </c>
      <c r="J206" s="283" t="s">
        <v>391</v>
      </c>
      <c r="K206" s="218" t="s">
        <v>392</v>
      </c>
      <c r="L206" s="209" t="s">
        <v>185</v>
      </c>
      <c r="M206" s="443" t="s">
        <v>401</v>
      </c>
      <c r="N206" s="73">
        <f>SUM(O206:R206)</f>
        <v>2107901.62</v>
      </c>
      <c r="O206" s="71">
        <f>((((847002.05*2)/12*8+(847002.05*2)/12*4)+((1998.78*12)/12*8+(1998.78*12)/12*4)))</f>
        <v>1717989.4600000002</v>
      </c>
      <c r="P206" s="73">
        <f>((12*4001.99)/12*8)+((12*4001.99)/12*4)</f>
        <v>48023.88</v>
      </c>
      <c r="Q206" s="73"/>
      <c r="R206" s="75">
        <f>28490.69*12</f>
        <v>341888.27999999997</v>
      </c>
      <c r="S206" s="46"/>
      <c r="T206" s="46">
        <f>N206</f>
        <v>2107901.62</v>
      </c>
      <c r="U206" s="46">
        <f>T206</f>
        <v>2107901.62</v>
      </c>
    </row>
    <row r="207" spans="1:24" ht="82.8">
      <c r="A207" s="528"/>
      <c r="B207" s="271"/>
      <c r="C207" s="63" t="s">
        <v>163</v>
      </c>
      <c r="D207" s="64" t="s">
        <v>101</v>
      </c>
      <c r="E207" s="213"/>
      <c r="F207" s="213"/>
      <c r="G207" s="213"/>
      <c r="H207" s="121"/>
      <c r="I207" s="121"/>
      <c r="J207" s="107"/>
      <c r="K207" s="218"/>
      <c r="L207" s="209"/>
      <c r="M207" s="443"/>
      <c r="N207" s="73"/>
      <c r="O207" s="71"/>
      <c r="P207" s="73"/>
      <c r="Q207" s="73"/>
      <c r="R207" s="75"/>
      <c r="S207" s="46"/>
      <c r="T207" s="46"/>
      <c r="U207" s="46"/>
    </row>
    <row r="208" spans="1:24">
      <c r="A208" s="528"/>
      <c r="B208" s="271"/>
      <c r="C208" s="63" t="s">
        <v>165</v>
      </c>
      <c r="D208" s="64" t="s">
        <v>101</v>
      </c>
      <c r="E208" s="213">
        <v>1</v>
      </c>
      <c r="F208" s="213">
        <v>1</v>
      </c>
      <c r="G208" s="123">
        <f>((E208*8)+(F208*4))/12</f>
        <v>1</v>
      </c>
      <c r="H208" s="121">
        <v>1</v>
      </c>
      <c r="I208" s="121">
        <v>1</v>
      </c>
      <c r="J208" s="107">
        <f>K208</f>
        <v>112309.99</v>
      </c>
      <c r="K208" s="218">
        <v>112309.99</v>
      </c>
      <c r="L208" s="209"/>
      <c r="M208" s="443"/>
      <c r="N208" s="73">
        <f>O208</f>
        <v>112309.99</v>
      </c>
      <c r="O208" s="71">
        <f>K208*G208</f>
        <v>112309.99</v>
      </c>
      <c r="P208" s="73"/>
      <c r="Q208" s="73"/>
      <c r="R208" s="75"/>
      <c r="S208" s="46"/>
      <c r="T208" s="46">
        <f>G208*K208</f>
        <v>112309.99</v>
      </c>
      <c r="U208" s="46">
        <f>T208</f>
        <v>112309.99</v>
      </c>
    </row>
    <row r="209" spans="1:27">
      <c r="A209" s="528"/>
      <c r="B209" s="271"/>
      <c r="C209" s="63" t="s">
        <v>168</v>
      </c>
      <c r="D209" s="64" t="s">
        <v>101</v>
      </c>
      <c r="E209" s="213"/>
      <c r="F209" s="213"/>
      <c r="G209" s="123">
        <f>((E209*8)+(F209*4))/12</f>
        <v>0</v>
      </c>
      <c r="H209" s="121"/>
      <c r="I209" s="121"/>
      <c r="J209" s="107">
        <f>K209</f>
        <v>28603.17</v>
      </c>
      <c r="K209" s="218">
        <v>28603.17</v>
      </c>
      <c r="L209" s="209"/>
      <c r="M209" s="443"/>
      <c r="N209" s="73">
        <f>O209</f>
        <v>0</v>
      </c>
      <c r="O209" s="71">
        <f>K209*G209</f>
        <v>0</v>
      </c>
      <c r="P209" s="73"/>
      <c r="Q209" s="73"/>
      <c r="R209" s="75"/>
      <c r="S209" s="46"/>
      <c r="T209" s="46">
        <f>G209*K209</f>
        <v>0</v>
      </c>
      <c r="U209" s="46">
        <f>T209</f>
        <v>0</v>
      </c>
    </row>
    <row r="210" spans="1:27">
      <c r="A210" s="528"/>
      <c r="B210" s="271"/>
      <c r="C210" s="290" t="s">
        <v>106</v>
      </c>
      <c r="D210" s="64"/>
      <c r="E210" s="213" t="str">
        <f>E206</f>
        <v>2\12</v>
      </c>
      <c r="F210" s="213" t="str">
        <f>F206</f>
        <v>2\12</v>
      </c>
      <c r="G210" s="213" t="str">
        <f>G206</f>
        <v>2\12</v>
      </c>
      <c r="H210" s="121" t="str">
        <f>H206</f>
        <v>2\12</v>
      </c>
      <c r="I210" s="121" t="str">
        <f>I206</f>
        <v>2\12</v>
      </c>
      <c r="J210" s="73" t="s">
        <v>104</v>
      </c>
      <c r="K210" s="205" t="s">
        <v>104</v>
      </c>
      <c r="L210" s="185" t="s">
        <v>104</v>
      </c>
      <c r="M210" s="444" t="s">
        <v>104</v>
      </c>
      <c r="N210" s="103">
        <f>SUM(N206:N209)</f>
        <v>2220211.6100000003</v>
      </c>
      <c r="O210" s="74">
        <f>SUM(O206:O209)</f>
        <v>1830299.4500000002</v>
      </c>
      <c r="P210" s="74">
        <f>SUM(P206:P209)</f>
        <v>48023.88</v>
      </c>
      <c r="Q210" s="74"/>
      <c r="R210" s="136">
        <f>SUM(R206:R209)</f>
        <v>341888.27999999997</v>
      </c>
      <c r="S210" s="185"/>
      <c r="T210" s="185">
        <f>SUM(T206:T209)</f>
        <v>2220211.6100000003</v>
      </c>
      <c r="U210" s="185">
        <f>SUM(U206:U209)</f>
        <v>2220211.6100000003</v>
      </c>
    </row>
    <row r="211" spans="1:27" ht="102" customHeight="1">
      <c r="A211" s="528"/>
      <c r="B211" s="137" t="s">
        <v>240</v>
      </c>
      <c r="C211" s="61" t="s">
        <v>186</v>
      </c>
      <c r="D211" s="64" t="s">
        <v>101</v>
      </c>
      <c r="E211" s="122">
        <v>365</v>
      </c>
      <c r="F211" s="122">
        <v>365</v>
      </c>
      <c r="G211" s="122">
        <f>((E211*8)+(F211*4))/12</f>
        <v>365</v>
      </c>
      <c r="H211" s="60">
        <v>365</v>
      </c>
      <c r="I211" s="60">
        <v>365</v>
      </c>
      <c r="J211" s="75">
        <f>K211</f>
        <v>4982.75</v>
      </c>
      <c r="K211" s="46">
        <v>4982.75</v>
      </c>
      <c r="L211" s="184" t="s">
        <v>104</v>
      </c>
      <c r="M211" s="72" t="s">
        <v>104</v>
      </c>
      <c r="N211" s="73">
        <f>SUM(O211:R211)</f>
        <v>1818703.75</v>
      </c>
      <c r="O211" s="73">
        <f>K211*G211</f>
        <v>1818703.75</v>
      </c>
      <c r="P211" s="73" t="s">
        <v>104</v>
      </c>
      <c r="Q211" s="73"/>
      <c r="R211" s="75" t="s">
        <v>104</v>
      </c>
      <c r="S211" s="205"/>
      <c r="T211" s="46">
        <f>H211*J211</f>
        <v>1818703.75</v>
      </c>
      <c r="U211" s="46">
        <f t="shared" ref="U211:U218" si="54">T211</f>
        <v>1818703.75</v>
      </c>
      <c r="V211" s="182">
        <v>20319160.32</v>
      </c>
      <c r="W211" s="192">
        <f>T220-V211</f>
        <v>839475.41000000015</v>
      </c>
    </row>
    <row r="212" spans="1:27">
      <c r="A212" s="528"/>
      <c r="B212" s="69"/>
      <c r="C212" s="290" t="s">
        <v>106</v>
      </c>
      <c r="D212" s="69"/>
      <c r="E212" s="122">
        <f>SUM(E211:E211)</f>
        <v>365</v>
      </c>
      <c r="F212" s="122">
        <f>SUM(F211:F211)</f>
        <v>365</v>
      </c>
      <c r="G212" s="122">
        <f>SUM(G211:G211)</f>
        <v>365</v>
      </c>
      <c r="H212" s="60">
        <f>SUM(H211:H211)</f>
        <v>365</v>
      </c>
      <c r="I212" s="60">
        <f>SUM(I211:I211)</f>
        <v>365</v>
      </c>
      <c r="J212" s="74" t="s">
        <v>104</v>
      </c>
      <c r="K212" s="185" t="s">
        <v>104</v>
      </c>
      <c r="L212" s="185" t="s">
        <v>104</v>
      </c>
      <c r="M212" s="444">
        <f t="shared" ref="M212:R212" si="55">SUM(M211:M211)</f>
        <v>0</v>
      </c>
      <c r="N212" s="103">
        <f t="shared" si="55"/>
        <v>1818703.75</v>
      </c>
      <c r="O212" s="74">
        <f t="shared" si="55"/>
        <v>1818703.75</v>
      </c>
      <c r="P212" s="74">
        <f t="shared" si="55"/>
        <v>0</v>
      </c>
      <c r="Q212" s="74"/>
      <c r="R212" s="444">
        <f t="shared" si="55"/>
        <v>0</v>
      </c>
      <c r="S212" s="185"/>
      <c r="T212" s="185">
        <f>N212</f>
        <v>1818703.75</v>
      </c>
      <c r="U212" s="46">
        <f t="shared" si="54"/>
        <v>1818703.75</v>
      </c>
    </row>
    <row r="213" spans="1:27" ht="13.95" hidden="1" customHeight="1">
      <c r="A213" s="528"/>
      <c r="B213" s="69" t="s">
        <v>282</v>
      </c>
      <c r="C213" s="66" t="s">
        <v>226</v>
      </c>
      <c r="D213" s="69"/>
      <c r="E213" s="122"/>
      <c r="F213" s="122"/>
      <c r="G213" s="122"/>
      <c r="H213" s="60"/>
      <c r="I213" s="60"/>
      <c r="J213" s="74"/>
      <c r="K213" s="185"/>
      <c r="L213" s="185"/>
      <c r="M213" s="444"/>
      <c r="N213" s="74">
        <f>P213</f>
        <v>0</v>
      </c>
      <c r="O213" s="74"/>
      <c r="P213" s="74"/>
      <c r="Q213" s="74"/>
      <c r="R213" s="444"/>
      <c r="S213" s="185"/>
      <c r="T213" s="185">
        <f>P213</f>
        <v>0</v>
      </c>
      <c r="U213" s="185">
        <f t="shared" si="54"/>
        <v>0</v>
      </c>
    </row>
    <row r="214" spans="1:27" ht="13.95" hidden="1" customHeight="1">
      <c r="A214" s="528"/>
      <c r="B214" s="89" t="s">
        <v>225</v>
      </c>
      <c r="C214" s="181" t="s">
        <v>219</v>
      </c>
      <c r="D214" s="64" t="s">
        <v>101</v>
      </c>
      <c r="E214" s="122">
        <v>11</v>
      </c>
      <c r="F214" s="122">
        <v>11</v>
      </c>
      <c r="G214" s="122">
        <v>11</v>
      </c>
      <c r="H214" s="60">
        <v>11</v>
      </c>
      <c r="I214" s="60">
        <v>11</v>
      </c>
      <c r="J214" s="74"/>
      <c r="K214" s="185"/>
      <c r="L214" s="185"/>
      <c r="M214" s="444"/>
      <c r="N214" s="74">
        <f>S214</f>
        <v>0</v>
      </c>
      <c r="O214" s="74"/>
      <c r="P214" s="74"/>
      <c r="Q214" s="74"/>
      <c r="R214" s="444"/>
      <c r="S214" s="185"/>
      <c r="T214" s="185">
        <f>S214</f>
        <v>0</v>
      </c>
      <c r="U214" s="185">
        <f t="shared" si="54"/>
        <v>0</v>
      </c>
    </row>
    <row r="215" spans="1:27" ht="13.95" hidden="1" customHeight="1">
      <c r="A215" s="528"/>
      <c r="B215" s="89" t="s">
        <v>225</v>
      </c>
      <c r="C215" s="181" t="s">
        <v>226</v>
      </c>
      <c r="D215" s="64" t="s">
        <v>101</v>
      </c>
      <c r="E215" s="122"/>
      <c r="F215" s="122"/>
      <c r="G215" s="122"/>
      <c r="H215" s="60"/>
      <c r="I215" s="60"/>
      <c r="J215" s="74"/>
      <c r="K215" s="185"/>
      <c r="L215" s="185"/>
      <c r="M215" s="444"/>
      <c r="N215" s="74">
        <f>Q215</f>
        <v>0</v>
      </c>
      <c r="O215" s="74"/>
      <c r="P215" s="74"/>
      <c r="Q215" s="74"/>
      <c r="R215" s="444"/>
      <c r="S215" s="185"/>
      <c r="T215" s="185"/>
      <c r="U215" s="185"/>
    </row>
    <row r="216" spans="1:27" ht="13.95" hidden="1" customHeight="1">
      <c r="A216" s="528"/>
      <c r="B216" s="89" t="s">
        <v>281</v>
      </c>
      <c r="C216" s="181" t="s">
        <v>219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444"/>
      <c r="N216" s="74">
        <f>S216</f>
        <v>0</v>
      </c>
      <c r="O216" s="74"/>
      <c r="P216" s="74"/>
      <c r="Q216" s="74"/>
      <c r="R216" s="444"/>
      <c r="S216" s="185"/>
      <c r="T216" s="185"/>
      <c r="U216" s="185"/>
    </row>
    <row r="217" spans="1:27">
      <c r="A217" s="528"/>
      <c r="B217" s="89" t="s">
        <v>288</v>
      </c>
      <c r="C217" s="181" t="s">
        <v>226</v>
      </c>
      <c r="D217" s="64"/>
      <c r="E217" s="122">
        <v>13</v>
      </c>
      <c r="F217" s="122">
        <v>13</v>
      </c>
      <c r="G217" s="122">
        <v>13</v>
      </c>
      <c r="H217" s="60">
        <v>13</v>
      </c>
      <c r="I217" s="60">
        <v>13</v>
      </c>
      <c r="J217" s="74"/>
      <c r="K217" s="185"/>
      <c r="L217" s="185"/>
      <c r="M217" s="444"/>
      <c r="N217" s="74">
        <f>O217</f>
        <v>1523340</v>
      </c>
      <c r="O217" s="74">
        <v>1523340</v>
      </c>
      <c r="P217" s="74"/>
      <c r="Q217" s="74"/>
      <c r="R217" s="444"/>
      <c r="S217" s="185"/>
      <c r="T217" s="185">
        <v>1523340</v>
      </c>
      <c r="U217" s="185">
        <f>T217</f>
        <v>1523340</v>
      </c>
    </row>
    <row r="218" spans="1:27" ht="13.95" hidden="1" customHeight="1">
      <c r="A218" s="528"/>
      <c r="B218" s="89" t="s">
        <v>257</v>
      </c>
      <c r="C218" s="181" t="s">
        <v>226</v>
      </c>
      <c r="D218" s="64"/>
      <c r="E218" s="122"/>
      <c r="F218" s="122"/>
      <c r="G218" s="122"/>
      <c r="H218" s="60"/>
      <c r="I218" s="60"/>
      <c r="J218" s="74"/>
      <c r="K218" s="185"/>
      <c r="L218" s="185"/>
      <c r="M218" s="444"/>
      <c r="N218" s="74">
        <f>O218</f>
        <v>0</v>
      </c>
      <c r="O218" s="74"/>
      <c r="P218" s="74"/>
      <c r="Q218" s="74"/>
      <c r="R218" s="444"/>
      <c r="S218" s="185"/>
      <c r="T218" s="185">
        <f>O218</f>
        <v>0</v>
      </c>
      <c r="U218" s="185">
        <f t="shared" si="54"/>
        <v>0</v>
      </c>
    </row>
    <row r="219" spans="1:27" ht="13.95" hidden="1" customHeight="1">
      <c r="A219" s="528"/>
      <c r="B219" s="89" t="s">
        <v>289</v>
      </c>
      <c r="C219" s="181" t="s">
        <v>226</v>
      </c>
      <c r="D219" s="64"/>
      <c r="E219" s="122"/>
      <c r="F219" s="122"/>
      <c r="G219" s="122"/>
      <c r="H219" s="60"/>
      <c r="I219" s="60"/>
      <c r="J219" s="74"/>
      <c r="K219" s="185"/>
      <c r="L219" s="185"/>
      <c r="M219" s="444"/>
      <c r="N219" s="74">
        <f>P219</f>
        <v>0</v>
      </c>
      <c r="O219" s="74"/>
      <c r="P219" s="74"/>
      <c r="Q219" s="74"/>
      <c r="R219" s="444"/>
      <c r="S219" s="185"/>
      <c r="T219" s="185"/>
      <c r="U219" s="185">
        <f>T219</f>
        <v>0</v>
      </c>
    </row>
    <row r="220" spans="1:27">
      <c r="A220" s="528"/>
      <c r="B220" s="314" t="s">
        <v>112</v>
      </c>
      <c r="C220" s="314"/>
      <c r="D220" s="315"/>
      <c r="E220" s="316">
        <v>197</v>
      </c>
      <c r="F220" s="316">
        <v>197</v>
      </c>
      <c r="G220" s="212">
        <v>197</v>
      </c>
      <c r="H220" s="102">
        <v>197</v>
      </c>
      <c r="I220" s="102">
        <v>197</v>
      </c>
      <c r="J220" s="103"/>
      <c r="K220" s="138"/>
      <c r="L220" s="138"/>
      <c r="M220" s="136"/>
      <c r="N220" s="103">
        <f>SUM(O220:S220)</f>
        <v>21158635.879999999</v>
      </c>
      <c r="O220" s="103">
        <f>O197+O205+O210+O212+O217+O218</f>
        <v>14748157.279999997</v>
      </c>
      <c r="P220" s="103">
        <f>P197+P205+P210+P212+P213+P214+P215+P219</f>
        <v>788392.02999999991</v>
      </c>
      <c r="Q220" s="103">
        <f>Q197+Q205+Q210+Q212+Q213+Q214+Q215</f>
        <v>0</v>
      </c>
      <c r="R220" s="136">
        <f>R197+R205+R210+R212+R213+R214+R215+R216+0.15</f>
        <v>5622086.5700000012</v>
      </c>
      <c r="S220" s="138">
        <f>S197+S205+S210+S212+S213+S214+S215+S216</f>
        <v>0</v>
      </c>
      <c r="T220" s="138">
        <f>T197+T205+T210+T212+T213+T214+T215+T216+T217+T218+T219</f>
        <v>21158635.73</v>
      </c>
      <c r="U220" s="138">
        <f>U197+U205+U210+U212+U213+U214+U215+U216+U217+U218+U219</f>
        <v>21158635.73</v>
      </c>
      <c r="V220" s="182">
        <v>4847177.32</v>
      </c>
      <c r="W220" s="192">
        <f>V220-R220</f>
        <v>-774909.25000000093</v>
      </c>
      <c r="X220" s="182">
        <f>W220/I220</f>
        <v>-3933.5494923857914</v>
      </c>
      <c r="AA220" s="192"/>
    </row>
    <row r="221" spans="1:27" ht="27" customHeight="1">
      <c r="A221" s="331"/>
      <c r="B221" s="555" t="s">
        <v>231</v>
      </c>
      <c r="C221" s="556"/>
      <c r="D221" s="556"/>
      <c r="E221" s="556"/>
      <c r="F221" s="556"/>
      <c r="G221" s="556"/>
      <c r="H221" s="556"/>
      <c r="I221" s="556"/>
      <c r="J221" s="556"/>
      <c r="K221" s="556"/>
      <c r="L221" s="556"/>
      <c r="M221" s="557"/>
      <c r="N221" s="330">
        <f>N220+N188+N150+N115+N82+N47-0.01</f>
        <v>242188962.71000001</v>
      </c>
      <c r="O221" s="330">
        <f>O220+O188+O150+O115+O82+O47</f>
        <v>173774775.5</v>
      </c>
      <c r="P221" s="330">
        <f>P220+P188+P150+P115+P82+P47</f>
        <v>13050489.389999997</v>
      </c>
      <c r="Q221" s="330">
        <f>Q220+Q188+Q150+Q115+Q82+Q47</f>
        <v>0</v>
      </c>
      <c r="R221" s="330">
        <f>R220+R188+R150+R115+R82+R47</f>
        <v>55363697.82</v>
      </c>
      <c r="S221" s="208">
        <f>S220+S188+S150+S115+S82+S47</f>
        <v>0</v>
      </c>
      <c r="T221" s="208">
        <f>T220+T188+T150+T115+T82+T47-0.01</f>
        <v>242054511.15000004</v>
      </c>
      <c r="U221" s="208">
        <f>U220+U188+U150+U115+U82+U47-0.01</f>
        <v>242054511.15000004</v>
      </c>
      <c r="X221" s="70"/>
    </row>
    <row r="222" spans="1:27">
      <c r="A222" s="182" t="s">
        <v>233</v>
      </c>
      <c r="T222" s="278"/>
      <c r="U222" s="278"/>
    </row>
    <row r="223" spans="1:27">
      <c r="A223" s="182" t="s">
        <v>402</v>
      </c>
      <c r="O223" s="192"/>
      <c r="T223" s="187"/>
    </row>
    <row r="224" spans="1:27">
      <c r="O224" s="192"/>
      <c r="T224" s="187"/>
      <c r="U224" s="187"/>
    </row>
    <row r="225" spans="9:22">
      <c r="O225" s="192"/>
      <c r="R225" s="192"/>
      <c r="S225" s="187"/>
      <c r="V225" s="192"/>
    </row>
    <row r="226" spans="9:22">
      <c r="O226" s="192"/>
      <c r="P226" s="192"/>
      <c r="R226" s="192"/>
    </row>
    <row r="227" spans="9:22">
      <c r="O227" s="192"/>
      <c r="P227" s="192"/>
      <c r="R227" s="192"/>
      <c r="T227" s="187"/>
    </row>
    <row r="228" spans="9:22">
      <c r="O228" s="192"/>
      <c r="P228" s="192"/>
    </row>
    <row r="229" spans="9:22">
      <c r="O229" s="192"/>
      <c r="P229" s="192"/>
    </row>
    <row r="230" spans="9:22">
      <c r="O230" s="192"/>
      <c r="P230" s="192"/>
    </row>
    <row r="231" spans="9:22">
      <c r="O231" s="192"/>
      <c r="P231" s="192"/>
    </row>
    <row r="232" spans="9:22">
      <c r="O232" s="192"/>
      <c r="P232" s="192"/>
    </row>
    <row r="233" spans="9:22">
      <c r="I233" s="279"/>
      <c r="O233" s="192"/>
      <c r="P233" s="192"/>
    </row>
    <row r="234" spans="9:22">
      <c r="O234" s="192"/>
      <c r="P234" s="192"/>
    </row>
    <row r="235" spans="9:22">
      <c r="O235" s="192"/>
      <c r="P235" s="192"/>
    </row>
    <row r="236" spans="9:22">
      <c r="O236" s="192"/>
      <c r="P236" s="192"/>
    </row>
    <row r="237" spans="9:22">
      <c r="O237" s="192"/>
      <c r="P237" s="192"/>
    </row>
    <row r="238" spans="9:22">
      <c r="O238" s="192"/>
      <c r="P238" s="192"/>
    </row>
    <row r="239" spans="9:22">
      <c r="O239" s="192"/>
      <c r="P239" s="192"/>
    </row>
    <row r="240" spans="9:22">
      <c r="R240" s="192"/>
    </row>
    <row r="241" spans="15:18">
      <c r="R241" s="192"/>
    </row>
    <row r="242" spans="15:18">
      <c r="O242" s="192"/>
      <c r="R242" s="192"/>
    </row>
    <row r="263" spans="1:17">
      <c r="O263" s="192"/>
      <c r="P263" s="192"/>
      <c r="Q263" s="192"/>
    </row>
    <row r="264" spans="1:17">
      <c r="O264" s="192"/>
      <c r="P264" s="192"/>
      <c r="Q264" s="192"/>
    </row>
    <row r="265" spans="1:17">
      <c r="O265" s="192"/>
      <c r="P265" s="192"/>
      <c r="Q265" s="192"/>
    </row>
    <row r="268" spans="1:17">
      <c r="O268" s="192"/>
    </row>
    <row r="270" spans="1:17">
      <c r="H270" s="182">
        <v>2</v>
      </c>
    </row>
    <row r="271" spans="1:17" ht="13.95" hidden="1" customHeight="1">
      <c r="D271" s="180">
        <v>286</v>
      </c>
      <c r="E271" s="200"/>
      <c r="F271" s="200"/>
      <c r="G271" s="200">
        <v>3</v>
      </c>
      <c r="H271" s="180">
        <v>244</v>
      </c>
      <c r="I271" s="180">
        <v>46</v>
      </c>
      <c r="J271" s="180">
        <v>69</v>
      </c>
      <c r="K271" s="200">
        <f>D271+G271+H271+I271+J271</f>
        <v>648</v>
      </c>
      <c r="L271" s="189" t="s">
        <v>294</v>
      </c>
      <c r="M271" s="182" t="s">
        <v>295</v>
      </c>
      <c r="N271" s="182" t="s">
        <v>296</v>
      </c>
    </row>
    <row r="272" spans="1:17" ht="27.6" hidden="1" customHeight="1">
      <c r="A272" s="182" t="s">
        <v>293</v>
      </c>
      <c r="B272" s="193" t="s">
        <v>282</v>
      </c>
      <c r="C272" s="198">
        <v>118131</v>
      </c>
      <c r="D272" s="199"/>
      <c r="E272" s="201"/>
      <c r="F272" s="201"/>
      <c r="G272" s="201"/>
      <c r="H272" s="197"/>
      <c r="I272" s="197"/>
      <c r="J272" s="197"/>
      <c r="K272" s="201"/>
      <c r="L272" s="187">
        <f>(C272+C278)</f>
        <v>522719</v>
      </c>
      <c r="M272" s="192">
        <f>(C276+C277)</f>
        <v>1356154</v>
      </c>
      <c r="N272" s="192">
        <f>(C273+C275)</f>
        <v>3584396</v>
      </c>
      <c r="O272" s="192">
        <f>L272+M272+N272</f>
        <v>5463269</v>
      </c>
    </row>
    <row r="273" spans="1:15" ht="13.95" hidden="1" customHeight="1">
      <c r="B273" s="89" t="s">
        <v>225</v>
      </c>
      <c r="C273" s="198">
        <v>3308494</v>
      </c>
      <c r="D273" s="199"/>
      <c r="E273" s="201"/>
      <c r="F273" s="201"/>
      <c r="G273" s="201"/>
      <c r="H273" s="197"/>
      <c r="I273" s="197"/>
      <c r="J273" s="197"/>
      <c r="K273" s="201"/>
      <c r="L273" s="187">
        <f>L272/K271</f>
        <v>806.66512345679007</v>
      </c>
      <c r="M273" s="192">
        <f>M272/K271</f>
        <v>2092.8302469135801</v>
      </c>
      <c r="N273" s="192">
        <f>N272/K271</f>
        <v>5531.4753086419751</v>
      </c>
    </row>
    <row r="274" spans="1:15" ht="13.95" hidden="1" customHeight="1">
      <c r="B274" s="89" t="s">
        <v>225</v>
      </c>
      <c r="C274" s="198"/>
      <c r="D274" s="199"/>
      <c r="E274" s="201"/>
      <c r="F274" s="201"/>
      <c r="G274" s="201"/>
      <c r="H274" s="197"/>
      <c r="I274" s="197"/>
      <c r="J274" s="197"/>
      <c r="K274" s="201"/>
      <c r="L274" s="187"/>
    </row>
    <row r="275" spans="1:15" ht="13.95" hidden="1" customHeight="1">
      <c r="B275" s="89" t="s">
        <v>281</v>
      </c>
      <c r="C275" s="198">
        <v>275902</v>
      </c>
      <c r="D275" s="199"/>
      <c r="E275" s="201"/>
      <c r="F275" s="201"/>
      <c r="G275" s="201"/>
      <c r="H275" s="197"/>
      <c r="I275" s="197"/>
      <c r="J275" s="197"/>
      <c r="K275" s="201"/>
      <c r="L275" s="187">
        <f>C272+691346</f>
        <v>809477</v>
      </c>
      <c r="M275" s="192">
        <f>C277+3249792</f>
        <v>3522682</v>
      </c>
      <c r="N275" s="192">
        <f>C273</f>
        <v>3308494</v>
      </c>
    </row>
    <row r="276" spans="1:15" ht="13.95" hidden="1" customHeight="1">
      <c r="B276" s="89" t="s">
        <v>288</v>
      </c>
      <c r="C276" s="198">
        <v>1083264</v>
      </c>
      <c r="D276" s="197"/>
      <c r="E276" s="201"/>
      <c r="F276" s="201"/>
      <c r="G276" s="201"/>
      <c r="H276" s="197"/>
      <c r="I276" s="197"/>
      <c r="J276" s="197"/>
      <c r="K276" s="201"/>
      <c r="L276" s="187">
        <f>L275-L272</f>
        <v>286758</v>
      </c>
      <c r="M276" s="192">
        <f>M275-M272</f>
        <v>2166528</v>
      </c>
      <c r="N276" s="192">
        <f>N275-N272</f>
        <v>-275902</v>
      </c>
    </row>
    <row r="277" spans="1:15" ht="13.95" hidden="1" customHeight="1">
      <c r="B277" s="89" t="s">
        <v>257</v>
      </c>
      <c r="C277" s="198">
        <v>272890</v>
      </c>
      <c r="D277" s="197"/>
      <c r="E277" s="201"/>
      <c r="F277" s="201"/>
      <c r="G277" s="201"/>
      <c r="H277" s="197"/>
      <c r="I277" s="197"/>
      <c r="J277" s="197"/>
      <c r="K277" s="201"/>
      <c r="L277" s="187">
        <f>L276/K271</f>
        <v>442.52777777777777</v>
      </c>
      <c r="M277" s="192">
        <f>M276/K271</f>
        <v>3343.4074074074074</v>
      </c>
      <c r="N277" s="192">
        <f>N276/K271</f>
        <v>-425.77469135802471</v>
      </c>
    </row>
    <row r="278" spans="1:15" ht="13.95" hidden="1" customHeight="1">
      <c r="B278" s="89" t="s">
        <v>289</v>
      </c>
      <c r="C278" s="198">
        <v>404588</v>
      </c>
      <c r="D278" s="197"/>
      <c r="E278" s="201"/>
      <c r="F278" s="201"/>
      <c r="G278" s="201"/>
      <c r="H278" s="197"/>
      <c r="I278" s="197"/>
      <c r="J278" s="197"/>
      <c r="K278" s="201"/>
      <c r="L278" s="187">
        <f>D271*L277</f>
        <v>126562.94444444444</v>
      </c>
      <c r="M278" s="192">
        <f>D271*M277</f>
        <v>956214.51851851854</v>
      </c>
      <c r="N278" s="192">
        <f>D271*N277</f>
        <v>-121771.56172839507</v>
      </c>
      <c r="O278" s="192">
        <f t="shared" ref="O278:O283" si="56">L278+M278+N278</f>
        <v>961005.90123456786</v>
      </c>
    </row>
    <row r="279" spans="1:15" ht="13.95" hidden="1" customHeight="1">
      <c r="B279" s="101" t="s">
        <v>112</v>
      </c>
      <c r="C279" s="198">
        <f>SUM(C272:C278)</f>
        <v>5463269</v>
      </c>
      <c r="D279" s="197"/>
      <c r="E279" s="201"/>
      <c r="F279" s="201"/>
      <c r="G279" s="201"/>
      <c r="H279" s="197"/>
      <c r="I279" s="197"/>
      <c r="J279" s="197"/>
      <c r="K279" s="201"/>
      <c r="L279" s="187">
        <f>G271*L277</f>
        <v>1327.5833333333333</v>
      </c>
      <c r="M279" s="192">
        <f>G271*M277</f>
        <v>10030.222222222223</v>
      </c>
      <c r="N279" s="192">
        <f>G271*N277</f>
        <v>-1277.3240740740741</v>
      </c>
      <c r="O279" s="192">
        <f t="shared" si="56"/>
        <v>10080.481481481482</v>
      </c>
    </row>
    <row r="280" spans="1:15" ht="13.95" hidden="1" customHeight="1">
      <c r="L280" s="187">
        <f>242*L277</f>
        <v>107091.72222222222</v>
      </c>
      <c r="M280" s="192">
        <f>242*M277</f>
        <v>809104.59259259258</v>
      </c>
      <c r="N280" s="192">
        <f>242*N277</f>
        <v>-103037.47530864198</v>
      </c>
      <c r="O280" s="192">
        <f t="shared" si="56"/>
        <v>813158.83950617281</v>
      </c>
    </row>
    <row r="281" spans="1:15" ht="13.95" hidden="1" customHeight="1">
      <c r="D281" s="195"/>
      <c r="L281" s="187">
        <f>2*L277</f>
        <v>885.05555555555554</v>
      </c>
      <c r="M281" s="192">
        <f>2*M277</f>
        <v>6686.8148148148148</v>
      </c>
      <c r="N281" s="192">
        <f>2*N277</f>
        <v>-851.54938271604942</v>
      </c>
      <c r="O281" s="192">
        <f t="shared" si="56"/>
        <v>6720.3209876543206</v>
      </c>
    </row>
    <row r="282" spans="1:15" ht="13.95" hidden="1" customHeight="1">
      <c r="D282" s="196"/>
      <c r="L282" s="187">
        <f>I271*L277</f>
        <v>20356.277777777777</v>
      </c>
      <c r="M282" s="192">
        <f>I271*M277</f>
        <v>153796.74074074073</v>
      </c>
      <c r="N282" s="192">
        <f>I271*N277</f>
        <v>-19585.635802469136</v>
      </c>
      <c r="O282" s="192">
        <f t="shared" si="56"/>
        <v>154567.38271604938</v>
      </c>
    </row>
    <row r="283" spans="1:15" ht="13.95" hidden="1" customHeight="1">
      <c r="D283" s="196"/>
      <c r="L283" s="187">
        <f>J271*L277</f>
        <v>30534.416666666668</v>
      </c>
      <c r="M283" s="192">
        <f>J271*M277</f>
        <v>230695.11111111112</v>
      </c>
      <c r="N283" s="192">
        <f>J271*N277</f>
        <v>-29378.453703703704</v>
      </c>
      <c r="O283" s="192">
        <f t="shared" si="56"/>
        <v>231851.07407407407</v>
      </c>
    </row>
    <row r="284" spans="1:15" ht="13.95" hidden="1" customHeight="1">
      <c r="D284" s="196"/>
    </row>
    <row r="285" spans="1:15" ht="13.95" hidden="1" customHeight="1">
      <c r="D285" s="196"/>
    </row>
    <row r="286" spans="1:15" ht="13.95" hidden="1" customHeight="1">
      <c r="D286" s="196"/>
    </row>
    <row r="287" spans="1:15" ht="13.95" hidden="1" customHeight="1">
      <c r="D287" s="180">
        <v>261</v>
      </c>
      <c r="E287" s="200"/>
      <c r="F287" s="200"/>
      <c r="G287" s="200">
        <v>2</v>
      </c>
      <c r="H287" s="180">
        <v>219</v>
      </c>
      <c r="I287" s="180">
        <v>2</v>
      </c>
      <c r="J287" s="180">
        <v>44</v>
      </c>
      <c r="K287" s="200">
        <f>D287+G287+H287+I287+J287</f>
        <v>528</v>
      </c>
      <c r="L287" s="189" t="s">
        <v>294</v>
      </c>
      <c r="M287" s="182" t="s">
        <v>295</v>
      </c>
      <c r="N287" s="182" t="s">
        <v>296</v>
      </c>
    </row>
    <row r="288" spans="1:15" ht="27.6" hidden="1" customHeight="1">
      <c r="A288" s="182" t="s">
        <v>297</v>
      </c>
      <c r="B288" s="193" t="s">
        <v>282</v>
      </c>
      <c r="C288" s="198">
        <v>96255</v>
      </c>
      <c r="D288" s="199"/>
      <c r="E288" s="201"/>
      <c r="F288" s="201"/>
      <c r="G288" s="201"/>
      <c r="H288" s="197"/>
      <c r="I288" s="197"/>
      <c r="J288" s="197"/>
      <c r="K288" s="201"/>
      <c r="L288" s="187">
        <f>C288+C290+C294</f>
        <v>1031146</v>
      </c>
      <c r="M288" s="192">
        <f>C292+C293</f>
        <v>1027677</v>
      </c>
      <c r="N288" s="192">
        <f>C289+C291</f>
        <v>4122597</v>
      </c>
      <c r="O288" s="192">
        <f>L288+M288+N288</f>
        <v>6181420</v>
      </c>
    </row>
    <row r="289" spans="1:15" ht="13.95" hidden="1" customHeight="1">
      <c r="B289" s="89" t="s">
        <v>225</v>
      </c>
      <c r="C289" s="198">
        <v>3813252</v>
      </c>
      <c r="D289" s="199"/>
      <c r="E289" s="201"/>
      <c r="F289" s="201"/>
      <c r="G289" s="201"/>
      <c r="H289" s="197"/>
      <c r="I289" s="197"/>
      <c r="J289" s="197"/>
      <c r="K289" s="201"/>
      <c r="L289" s="187">
        <f>L288/K287</f>
        <v>1952.9280303030303</v>
      </c>
      <c r="M289" s="192">
        <f>M288/K287</f>
        <v>1946.3579545454545</v>
      </c>
      <c r="N289" s="192">
        <f>N288/K287</f>
        <v>7807.948863636364</v>
      </c>
    </row>
    <row r="290" spans="1:15" ht="13.95" hidden="1" customHeight="1">
      <c r="B290" s="89" t="s">
        <v>225</v>
      </c>
      <c r="C290" s="198">
        <v>606031</v>
      </c>
      <c r="D290" s="199"/>
      <c r="E290" s="201"/>
      <c r="F290" s="201"/>
      <c r="G290" s="201"/>
      <c r="H290" s="197"/>
      <c r="I290" s="197"/>
      <c r="J290" s="197"/>
      <c r="K290" s="201"/>
    </row>
    <row r="291" spans="1:15" ht="13.95" hidden="1" customHeight="1">
      <c r="B291" s="89" t="s">
        <v>281</v>
      </c>
      <c r="C291" s="198">
        <v>309345</v>
      </c>
      <c r="D291" s="199"/>
      <c r="E291" s="201"/>
      <c r="F291" s="201"/>
      <c r="G291" s="201"/>
      <c r="H291" s="197"/>
      <c r="I291" s="197"/>
      <c r="J291" s="197"/>
      <c r="K291" s="201"/>
      <c r="L291" s="187">
        <f>C288+C290+563319</f>
        <v>1265605</v>
      </c>
      <c r="M291" s="192">
        <f>C293+2624832</f>
        <v>2777565</v>
      </c>
      <c r="N291" s="192">
        <f>C289</f>
        <v>3813252</v>
      </c>
    </row>
    <row r="292" spans="1:15" ht="13.95" hidden="1" customHeight="1">
      <c r="B292" s="89" t="s">
        <v>288</v>
      </c>
      <c r="C292" s="198">
        <v>874944</v>
      </c>
      <c r="D292" s="197"/>
      <c r="E292" s="201"/>
      <c r="F292" s="201"/>
      <c r="G292" s="201"/>
      <c r="H292" s="197"/>
      <c r="I292" s="197"/>
      <c r="J292" s="197"/>
      <c r="K292" s="201"/>
      <c r="L292" s="187">
        <f>L291-L288</f>
        <v>234459</v>
      </c>
      <c r="M292" s="192">
        <f>M291-M288</f>
        <v>1749888</v>
      </c>
      <c r="N292" s="192">
        <f>N291-N288</f>
        <v>-309345</v>
      </c>
    </row>
    <row r="293" spans="1:15" ht="13.95" hidden="1" customHeight="1">
      <c r="B293" s="89" t="s">
        <v>257</v>
      </c>
      <c r="C293" s="198">
        <v>152733</v>
      </c>
      <c r="D293" s="197"/>
      <c r="E293" s="201"/>
      <c r="F293" s="201"/>
      <c r="G293" s="201"/>
      <c r="H293" s="197"/>
      <c r="I293" s="197"/>
      <c r="J293" s="197"/>
      <c r="K293" s="201"/>
      <c r="L293" s="278">
        <f>L292/K287</f>
        <v>444.05113636363637</v>
      </c>
      <c r="M293" s="202">
        <f>M292/K287</f>
        <v>3314.181818181818</v>
      </c>
      <c r="N293" s="202">
        <f>N292/K287</f>
        <v>-585.88068181818187</v>
      </c>
    </row>
    <row r="294" spans="1:15" ht="13.95" hidden="1" customHeight="1">
      <c r="B294" s="89" t="s">
        <v>289</v>
      </c>
      <c r="C294" s="198">
        <v>328860</v>
      </c>
      <c r="D294" s="197"/>
      <c r="E294" s="201"/>
      <c r="F294" s="201"/>
      <c r="G294" s="201"/>
      <c r="H294" s="197"/>
      <c r="I294" s="197"/>
      <c r="J294" s="197"/>
      <c r="K294" s="201"/>
      <c r="L294" s="187">
        <f>D287*L293</f>
        <v>115897.34659090909</v>
      </c>
      <c r="M294" s="192">
        <f>M293*D287</f>
        <v>865001.45454545447</v>
      </c>
      <c r="N294" s="192">
        <f>D287*N293</f>
        <v>-152914.85795454547</v>
      </c>
      <c r="O294" s="192">
        <f>L294+M294+N294</f>
        <v>827983.94318181812</v>
      </c>
    </row>
    <row r="295" spans="1:15" ht="13.95" hidden="1" customHeight="1">
      <c r="B295" s="101" t="s">
        <v>112</v>
      </c>
      <c r="C295" s="198">
        <f>SUM(C288:C294)</f>
        <v>6181420</v>
      </c>
      <c r="D295" s="197"/>
      <c r="E295" s="201"/>
      <c r="F295" s="201"/>
      <c r="G295" s="201"/>
      <c r="H295" s="197"/>
      <c r="I295" s="197"/>
      <c r="J295" s="197"/>
      <c r="K295" s="201"/>
      <c r="L295" s="187">
        <f>G287*L293</f>
        <v>888.10227272727275</v>
      </c>
      <c r="M295" s="192">
        <f>G287*M293</f>
        <v>6628.363636363636</v>
      </c>
      <c r="N295" s="192">
        <f>G287*N293</f>
        <v>-1171.7613636363637</v>
      </c>
      <c r="O295" s="192">
        <f>L295+M295+N295</f>
        <v>6344.704545454545</v>
      </c>
    </row>
    <row r="296" spans="1:15" ht="13.95" hidden="1" customHeight="1">
      <c r="L296" s="187">
        <f>H287*L293</f>
        <v>97247.198863636368</v>
      </c>
      <c r="M296" s="192">
        <f>H287*M293</f>
        <v>725805.81818181812</v>
      </c>
      <c r="N296" s="192">
        <f>H287*N293</f>
        <v>-128307.86931818182</v>
      </c>
      <c r="O296" s="192">
        <f>L296+M296+N296</f>
        <v>694745.14772727271</v>
      </c>
    </row>
    <row r="297" spans="1:15" ht="13.95" hidden="1" customHeight="1">
      <c r="L297" s="187">
        <f>I287*L293</f>
        <v>888.10227272727275</v>
      </c>
      <c r="M297" s="192">
        <f>I287*M293</f>
        <v>6628.363636363636</v>
      </c>
      <c r="N297" s="192">
        <f>I287*N293</f>
        <v>-1171.7613636363637</v>
      </c>
      <c r="O297" s="192">
        <f>L297+M297+N297</f>
        <v>6344.704545454545</v>
      </c>
    </row>
    <row r="298" spans="1:15" ht="13.95" hidden="1" customHeight="1">
      <c r="L298" s="187">
        <f>J287*L293</f>
        <v>19538.25</v>
      </c>
      <c r="M298" s="192">
        <f>J287*M293</f>
        <v>145824</v>
      </c>
      <c r="N298" s="192">
        <f>J287*N293</f>
        <v>-25778.750000000004</v>
      </c>
      <c r="O298" s="192">
        <f>L298+M298+N298</f>
        <v>139583.5</v>
      </c>
    </row>
    <row r="299" spans="1:15" ht="13.95" hidden="1" customHeight="1"/>
    <row r="300" spans="1:15" ht="13.95" hidden="1" customHeight="1">
      <c r="D300" s="180">
        <v>242</v>
      </c>
      <c r="E300" s="200"/>
      <c r="F300" s="200"/>
      <c r="G300" s="200">
        <v>1</v>
      </c>
      <c r="H300" s="180">
        <v>224</v>
      </c>
      <c r="I300" s="180">
        <v>3</v>
      </c>
      <c r="J300" s="180">
        <v>69</v>
      </c>
      <c r="K300" s="200">
        <f>D300+G300+H300+I300+J300</f>
        <v>539</v>
      </c>
      <c r="L300" s="189" t="s">
        <v>294</v>
      </c>
      <c r="M300" s="182" t="s">
        <v>295</v>
      </c>
      <c r="N300" s="182" t="s">
        <v>296</v>
      </c>
    </row>
    <row r="301" spans="1:15" ht="27.6" hidden="1" customHeight="1">
      <c r="A301" s="182" t="s">
        <v>298</v>
      </c>
      <c r="B301" s="193" t="s">
        <v>282</v>
      </c>
      <c r="C301" s="198">
        <v>98261</v>
      </c>
      <c r="D301" s="199"/>
      <c r="E301" s="201"/>
      <c r="F301" s="201"/>
      <c r="G301" s="201"/>
      <c r="H301" s="197"/>
      <c r="I301" s="197"/>
      <c r="J301" s="197"/>
      <c r="K301" s="201"/>
      <c r="L301" s="187">
        <f>C301+C303+C307</f>
        <v>598302</v>
      </c>
      <c r="M301" s="192">
        <f>C305</f>
        <v>874944</v>
      </c>
      <c r="N301" s="192">
        <f>C302+C304</f>
        <v>1479238</v>
      </c>
      <c r="O301" s="192">
        <f>L301+M301+N301</f>
        <v>2952484</v>
      </c>
    </row>
    <row r="302" spans="1:15" ht="13.95" hidden="1" customHeight="1">
      <c r="B302" s="89" t="s">
        <v>225</v>
      </c>
      <c r="C302" s="198">
        <v>1362189</v>
      </c>
      <c r="D302" s="199"/>
      <c r="E302" s="201"/>
      <c r="F302" s="201"/>
      <c r="G302" s="201"/>
      <c r="H302" s="197"/>
      <c r="I302" s="197"/>
      <c r="J302" s="197"/>
      <c r="K302" s="201"/>
      <c r="L302" s="187">
        <f>L301/K300</f>
        <v>1110.0222634508348</v>
      </c>
      <c r="M302" s="192">
        <f>M301/K300</f>
        <v>1623.2727272727273</v>
      </c>
      <c r="N302" s="192">
        <f>N301/K300</f>
        <v>2744.4118738404454</v>
      </c>
    </row>
    <row r="303" spans="1:15" ht="13.95" hidden="1" customHeight="1">
      <c r="B303" s="89" t="s">
        <v>225</v>
      </c>
      <c r="C303" s="198">
        <v>164828</v>
      </c>
      <c r="D303" s="199"/>
      <c r="E303" s="201"/>
      <c r="F303" s="201"/>
      <c r="G303" s="201"/>
      <c r="H303" s="197"/>
      <c r="I303" s="197"/>
      <c r="J303" s="197"/>
      <c r="K303" s="201"/>
    </row>
    <row r="304" spans="1:15" ht="13.95" hidden="1" customHeight="1">
      <c r="B304" s="89" t="s">
        <v>281</v>
      </c>
      <c r="C304" s="198">
        <v>117049</v>
      </c>
      <c r="D304" s="199"/>
      <c r="E304" s="201"/>
      <c r="F304" s="201"/>
      <c r="G304" s="201"/>
      <c r="H304" s="197"/>
      <c r="I304" s="197"/>
      <c r="J304" s="197"/>
      <c r="K304" s="201"/>
      <c r="L304" s="187">
        <f>C301+C303+575056</f>
        <v>838145</v>
      </c>
      <c r="M304" s="192">
        <f>2624832</f>
        <v>2624832</v>
      </c>
      <c r="N304" s="192">
        <f>C302</f>
        <v>1362189</v>
      </c>
    </row>
    <row r="305" spans="1:15" ht="13.95" hidden="1" customHeight="1">
      <c r="B305" s="89" t="s">
        <v>288</v>
      </c>
      <c r="C305" s="198">
        <v>874944</v>
      </c>
      <c r="D305" s="197"/>
      <c r="E305" s="201"/>
      <c r="F305" s="201"/>
      <c r="G305" s="201"/>
      <c r="H305" s="197"/>
      <c r="I305" s="197"/>
      <c r="J305" s="197"/>
      <c r="K305" s="201"/>
      <c r="L305" s="187">
        <f>L304-L301</f>
        <v>239843</v>
      </c>
      <c r="M305" s="192">
        <f>M304-M301</f>
        <v>1749888</v>
      </c>
      <c r="N305" s="192">
        <f>N304-N301</f>
        <v>-117049</v>
      </c>
    </row>
    <row r="306" spans="1:15" ht="13.95" hidden="1" customHeight="1">
      <c r="B306" s="89" t="s">
        <v>257</v>
      </c>
      <c r="C306" s="198">
        <v>0</v>
      </c>
      <c r="D306" s="197"/>
      <c r="E306" s="201"/>
      <c r="F306" s="201"/>
      <c r="G306" s="201"/>
      <c r="H306" s="197"/>
      <c r="I306" s="197"/>
      <c r="J306" s="197"/>
      <c r="K306" s="201"/>
      <c r="L306" s="187">
        <f>L305/K300</f>
        <v>444.97773654916512</v>
      </c>
      <c r="M306" s="192">
        <f>M305/K300</f>
        <v>3246.5454545454545</v>
      </c>
      <c r="N306" s="192">
        <f>N305/K300</f>
        <v>-217.1595547309833</v>
      </c>
    </row>
    <row r="307" spans="1:15" ht="13.95" hidden="1" customHeight="1">
      <c r="B307" s="89" t="s">
        <v>289</v>
      </c>
      <c r="C307" s="198">
        <v>335213</v>
      </c>
      <c r="D307" s="197"/>
      <c r="E307" s="201"/>
      <c r="F307" s="201"/>
      <c r="G307" s="201"/>
      <c r="H307" s="197"/>
      <c r="I307" s="197"/>
      <c r="J307" s="197"/>
      <c r="K307" s="201"/>
      <c r="L307" s="187">
        <f>D300*L306</f>
        <v>107684.61224489796</v>
      </c>
      <c r="M307" s="192">
        <f>D300*M306</f>
        <v>785664</v>
      </c>
      <c r="N307" s="192">
        <f>D300*N306</f>
        <v>-52552.612244897959</v>
      </c>
      <c r="O307" s="192">
        <f>L307+M307+N307</f>
        <v>840796</v>
      </c>
    </row>
    <row r="308" spans="1:15" ht="13.95" hidden="1" customHeight="1">
      <c r="B308" s="101" t="s">
        <v>112</v>
      </c>
      <c r="C308" s="198">
        <f>SUM(C301:C307)</f>
        <v>2952484</v>
      </c>
      <c r="D308" s="197"/>
      <c r="E308" s="201"/>
      <c r="F308" s="201"/>
      <c r="G308" s="201"/>
      <c r="H308" s="197"/>
      <c r="I308" s="197"/>
      <c r="J308" s="197"/>
      <c r="K308" s="201"/>
      <c r="L308" s="187">
        <f>G300*L306</f>
        <v>444.97773654916512</v>
      </c>
      <c r="M308" s="192">
        <f>G300*M306</f>
        <v>3246.5454545454545</v>
      </c>
      <c r="N308" s="192">
        <f>G300*N306</f>
        <v>-217.1595547309833</v>
      </c>
      <c r="O308" s="192">
        <f>L308+M308+N308</f>
        <v>3474.363636363636</v>
      </c>
    </row>
    <row r="309" spans="1:15" ht="13.95" hidden="1" customHeight="1">
      <c r="L309" s="187">
        <f>H300*L306</f>
        <v>99675.012987012989</v>
      </c>
      <c r="M309" s="192">
        <f>H300*M306</f>
        <v>727226.18181818177</v>
      </c>
      <c r="N309" s="192">
        <f>H300*N306</f>
        <v>-48643.740259740262</v>
      </c>
      <c r="O309" s="192">
        <f>L309+M309+N309</f>
        <v>778257.45454545447</v>
      </c>
    </row>
    <row r="310" spans="1:15" ht="13.95" hidden="1" customHeight="1">
      <c r="L310" s="187">
        <f>I300*L306</f>
        <v>1334.9332096474955</v>
      </c>
      <c r="M310" s="192">
        <f>I300*M306</f>
        <v>9739.636363636364</v>
      </c>
      <c r="N310" s="192">
        <f>I300*N306</f>
        <v>-651.47866419294996</v>
      </c>
      <c r="O310" s="192">
        <f>L310+M310+N310</f>
        <v>10423.09090909091</v>
      </c>
    </row>
    <row r="311" spans="1:15" ht="13.95" hidden="1" customHeight="1">
      <c r="L311" s="187">
        <f>J300*L306</f>
        <v>30703.463821892394</v>
      </c>
      <c r="M311" s="192">
        <f>J300*M306</f>
        <v>224011.63636363635</v>
      </c>
      <c r="N311" s="192">
        <f>J300*N306</f>
        <v>-14984.009276437848</v>
      </c>
      <c r="O311" s="192">
        <f>L311+M311+N311</f>
        <v>239731.09090909091</v>
      </c>
    </row>
    <row r="312" spans="1:15" ht="13.95" hidden="1" customHeight="1"/>
    <row r="313" spans="1:15" ht="13.95" hidden="1" customHeight="1">
      <c r="D313" s="180">
        <v>206</v>
      </c>
      <c r="E313" s="200"/>
      <c r="F313" s="200"/>
      <c r="G313" s="200">
        <v>5</v>
      </c>
      <c r="H313" s="180">
        <v>238</v>
      </c>
      <c r="I313" s="180">
        <v>1</v>
      </c>
      <c r="J313" s="180">
        <v>33</v>
      </c>
      <c r="K313" s="200">
        <f>D313+G313+H313+I313+J313</f>
        <v>483</v>
      </c>
      <c r="L313" s="189" t="s">
        <v>294</v>
      </c>
      <c r="M313" s="182" t="s">
        <v>295</v>
      </c>
      <c r="N313" s="182" t="s">
        <v>296</v>
      </c>
    </row>
    <row r="314" spans="1:15" ht="27.6" hidden="1" customHeight="1">
      <c r="A314" s="182" t="s">
        <v>299</v>
      </c>
      <c r="B314" s="193" t="s">
        <v>282</v>
      </c>
      <c r="C314" s="198">
        <v>88052</v>
      </c>
      <c r="D314" s="199"/>
      <c r="E314" s="201"/>
      <c r="F314" s="201"/>
      <c r="G314" s="201"/>
      <c r="H314" s="197"/>
      <c r="I314" s="197"/>
      <c r="J314" s="197"/>
      <c r="K314" s="201"/>
      <c r="L314" s="187">
        <f>C314+C320</f>
        <v>388924</v>
      </c>
      <c r="M314" s="192">
        <f>C318+C319</f>
        <v>1185246</v>
      </c>
      <c r="N314" s="192">
        <f>C315+C317</f>
        <v>2227002</v>
      </c>
      <c r="O314" s="192">
        <f>L314+M314+N314</f>
        <v>3801172</v>
      </c>
    </row>
    <row r="315" spans="1:15" ht="13.95" hidden="1" customHeight="1">
      <c r="B315" s="89" t="s">
        <v>225</v>
      </c>
      <c r="C315" s="198">
        <v>2026333</v>
      </c>
      <c r="D315" s="199"/>
      <c r="E315" s="201"/>
      <c r="F315" s="201"/>
      <c r="G315" s="201"/>
      <c r="H315" s="197"/>
      <c r="I315" s="197"/>
      <c r="J315" s="197"/>
      <c r="K315" s="201"/>
      <c r="L315" s="187">
        <f>L314/K313</f>
        <v>805.22567287784682</v>
      </c>
      <c r="M315" s="192">
        <f>M314/K313</f>
        <v>2453.9254658385094</v>
      </c>
      <c r="N315" s="192">
        <f>N314/K313</f>
        <v>4610.7701863354041</v>
      </c>
    </row>
    <row r="316" spans="1:15" ht="13.95" hidden="1" customHeight="1">
      <c r="B316" s="89" t="s">
        <v>225</v>
      </c>
      <c r="C316" s="198">
        <v>0</v>
      </c>
      <c r="D316" s="199"/>
      <c r="E316" s="201"/>
      <c r="F316" s="201"/>
      <c r="G316" s="201"/>
      <c r="H316" s="197"/>
      <c r="I316" s="197"/>
      <c r="J316" s="197"/>
      <c r="K316" s="201"/>
    </row>
    <row r="317" spans="1:15" ht="13.95" hidden="1" customHeight="1">
      <c r="B317" s="89" t="s">
        <v>281</v>
      </c>
      <c r="C317" s="198">
        <v>200669</v>
      </c>
      <c r="D317" s="199"/>
      <c r="E317" s="201"/>
      <c r="F317" s="201"/>
      <c r="G317" s="201"/>
      <c r="H317" s="197"/>
      <c r="I317" s="197"/>
      <c r="J317" s="197"/>
      <c r="K317" s="201"/>
      <c r="L317" s="187">
        <f>C314+515309</f>
        <v>603361</v>
      </c>
      <c r="M317" s="192">
        <f>C319+2499840</f>
        <v>2851806</v>
      </c>
      <c r="N317" s="192">
        <f>C315</f>
        <v>2026333</v>
      </c>
    </row>
    <row r="318" spans="1:15" ht="13.95" hidden="1" customHeight="1">
      <c r="B318" s="89" t="s">
        <v>288</v>
      </c>
      <c r="C318" s="198">
        <v>833280</v>
      </c>
      <c r="D318" s="197"/>
      <c r="E318" s="201"/>
      <c r="F318" s="201"/>
      <c r="G318" s="201"/>
      <c r="H318" s="197"/>
      <c r="I318" s="197"/>
      <c r="J318" s="197"/>
      <c r="K318" s="201"/>
      <c r="L318" s="187">
        <f>L317-L314</f>
        <v>214437</v>
      </c>
      <c r="M318" s="192">
        <f>M317-M314</f>
        <v>1666560</v>
      </c>
      <c r="N318" s="192">
        <f>N317-N314</f>
        <v>-200669</v>
      </c>
    </row>
    <row r="319" spans="1:15" ht="13.95" hidden="1" customHeight="1">
      <c r="B319" s="89" t="s">
        <v>257</v>
      </c>
      <c r="C319" s="198">
        <v>351966</v>
      </c>
      <c r="D319" s="197"/>
      <c r="E319" s="201"/>
      <c r="F319" s="201"/>
      <c r="G319" s="201"/>
      <c r="H319" s="197"/>
      <c r="I319" s="197"/>
      <c r="J319" s="197"/>
      <c r="K319" s="201"/>
      <c r="L319" s="187">
        <f>L318/K313</f>
        <v>443.96894409937886</v>
      </c>
      <c r="M319" s="192">
        <f>M318/K313</f>
        <v>3450.4347826086955</v>
      </c>
      <c r="N319" s="192">
        <f>N318/K313</f>
        <v>-415.463768115942</v>
      </c>
    </row>
    <row r="320" spans="1:15" ht="13.95" hidden="1" customHeight="1">
      <c r="B320" s="89" t="s">
        <v>289</v>
      </c>
      <c r="C320" s="198">
        <v>300872</v>
      </c>
      <c r="D320" s="197"/>
      <c r="E320" s="201"/>
      <c r="F320" s="201"/>
      <c r="G320" s="201"/>
      <c r="H320" s="197"/>
      <c r="I320" s="197"/>
      <c r="J320" s="197"/>
      <c r="K320" s="201"/>
      <c r="L320" s="187">
        <f>D313*L319</f>
        <v>91457.602484472038</v>
      </c>
      <c r="M320" s="192">
        <f>M319*D313</f>
        <v>710789.56521739124</v>
      </c>
      <c r="N320" s="192">
        <f>D313*N319</f>
        <v>-85585.536231884049</v>
      </c>
      <c r="O320" s="192">
        <f>L320+M320+N320</f>
        <v>716661.63146997918</v>
      </c>
    </row>
    <row r="321" spans="1:17" ht="13.95" hidden="1" customHeight="1">
      <c r="B321" s="101" t="s">
        <v>112</v>
      </c>
      <c r="C321" s="198">
        <f>SUM(C314:C320)</f>
        <v>3801172</v>
      </c>
      <c r="D321" s="197"/>
      <c r="E321" s="201"/>
      <c r="F321" s="201"/>
      <c r="G321" s="201"/>
      <c r="H321" s="197"/>
      <c r="I321" s="197"/>
      <c r="J321" s="197"/>
      <c r="K321" s="201"/>
      <c r="L321" s="187">
        <f>G313*L319</f>
        <v>2219.8447204968943</v>
      </c>
      <c r="M321" s="192">
        <f>G313*M319</f>
        <v>17252.173913043476</v>
      </c>
      <c r="N321" s="192">
        <f>G313*N319</f>
        <v>-2077.31884057971</v>
      </c>
      <c r="O321" s="192">
        <f>L321+M321+N321</f>
        <v>17394.699792960659</v>
      </c>
    </row>
    <row r="322" spans="1:17" ht="13.95" hidden="1" customHeight="1">
      <c r="L322" s="187">
        <f>H313*L319</f>
        <v>105664.60869565216</v>
      </c>
      <c r="M322" s="192">
        <f>H313*M319</f>
        <v>821203.47826086951</v>
      </c>
      <c r="N322" s="192">
        <f>H313*N319</f>
        <v>-98880.376811594193</v>
      </c>
      <c r="O322" s="192">
        <f>L322+M322+N322</f>
        <v>827987.71014492749</v>
      </c>
    </row>
    <row r="323" spans="1:17" ht="13.95" hidden="1" customHeight="1">
      <c r="L323" s="187">
        <f>I313*L319</f>
        <v>443.96894409937886</v>
      </c>
      <c r="M323" s="192">
        <f>I313*M319</f>
        <v>3450.4347826086955</v>
      </c>
      <c r="N323" s="192">
        <f>I313*N319</f>
        <v>-415.463768115942</v>
      </c>
      <c r="O323" s="192">
        <f>L323+M323+N323</f>
        <v>3478.9399585921324</v>
      </c>
    </row>
    <row r="324" spans="1:17" ht="13.95" hidden="1" customHeight="1">
      <c r="L324" s="187">
        <f>J313*L319</f>
        <v>14650.975155279502</v>
      </c>
      <c r="M324" s="192">
        <f>J313*M319</f>
        <v>113864.34782608695</v>
      </c>
      <c r="N324" s="192">
        <f>J313*N319</f>
        <v>-13710.304347826086</v>
      </c>
      <c r="O324" s="192">
        <f>L324+M324+N324</f>
        <v>114805.01863354037</v>
      </c>
    </row>
    <row r="325" spans="1:17" ht="13.95" hidden="1" customHeight="1">
      <c r="N325" s="182" t="s">
        <v>294</v>
      </c>
      <c r="O325" s="182" t="s">
        <v>295</v>
      </c>
      <c r="P325" s="182" t="s">
        <v>296</v>
      </c>
    </row>
    <row r="326" spans="1:17" ht="13.95" hidden="1" customHeight="1">
      <c r="D326" s="180">
        <v>316</v>
      </c>
      <c r="E326" s="200"/>
      <c r="F326" s="200"/>
      <c r="G326" s="200">
        <v>2</v>
      </c>
      <c r="H326" s="180">
        <v>196</v>
      </c>
      <c r="I326" s="180">
        <v>206</v>
      </c>
      <c r="J326" s="180">
        <v>1</v>
      </c>
      <c r="K326" s="200">
        <v>51</v>
      </c>
      <c r="L326" s="200">
        <v>53</v>
      </c>
      <c r="M326" s="180">
        <f>D326+G326+H326+I326+J326+K326+L326</f>
        <v>825</v>
      </c>
    </row>
    <row r="327" spans="1:17" ht="27.6" hidden="1" customHeight="1">
      <c r="A327" s="182" t="s">
        <v>300</v>
      </c>
      <c r="B327" s="193" t="s">
        <v>282</v>
      </c>
      <c r="C327" s="185">
        <v>150399</v>
      </c>
      <c r="D327" s="199"/>
      <c r="E327" s="201"/>
      <c r="F327" s="201"/>
      <c r="G327" s="201"/>
      <c r="H327" s="197"/>
      <c r="I327" s="197"/>
      <c r="J327" s="197"/>
      <c r="K327" s="200"/>
      <c r="L327" s="200"/>
      <c r="M327" s="180"/>
      <c r="N327" s="192">
        <f>C327+C333</f>
        <v>662764</v>
      </c>
      <c r="O327" s="192">
        <f>C331+C332</f>
        <v>1800175</v>
      </c>
      <c r="P327" s="192">
        <f>C328+C330</f>
        <v>182500</v>
      </c>
      <c r="Q327" s="192">
        <f>N327+O327+P327</f>
        <v>2645439</v>
      </c>
    </row>
    <row r="328" spans="1:17" ht="13.95" hidden="1" customHeight="1">
      <c r="B328" s="89" t="s">
        <v>225</v>
      </c>
      <c r="C328" s="185">
        <v>179700</v>
      </c>
      <c r="D328" s="199"/>
      <c r="E328" s="201"/>
      <c r="F328" s="201"/>
      <c r="G328" s="201"/>
      <c r="H328" s="197"/>
      <c r="I328" s="197"/>
      <c r="J328" s="197"/>
      <c r="K328" s="200"/>
      <c r="L328" s="200"/>
      <c r="M328" s="180"/>
      <c r="N328" s="192">
        <f>N327/M326</f>
        <v>803.35030303030305</v>
      </c>
      <c r="O328" s="192">
        <f>O327/M326</f>
        <v>2182.030303030303</v>
      </c>
      <c r="P328" s="192">
        <f>P327/M326</f>
        <v>221.21212121212122</v>
      </c>
    </row>
    <row r="329" spans="1:17" ht="13.95" hidden="1" customHeight="1">
      <c r="B329" s="89" t="s">
        <v>225</v>
      </c>
      <c r="C329" s="185">
        <v>0</v>
      </c>
      <c r="D329" s="199"/>
      <c r="E329" s="201"/>
      <c r="F329" s="201"/>
      <c r="G329" s="201"/>
      <c r="H329" s="197"/>
      <c r="I329" s="197"/>
      <c r="J329" s="197"/>
      <c r="K329" s="200"/>
      <c r="L329" s="200"/>
      <c r="M329" s="180"/>
    </row>
    <row r="330" spans="1:17" ht="13.95" hidden="1" customHeight="1">
      <c r="B330" s="89" t="s">
        <v>281</v>
      </c>
      <c r="C330" s="185">
        <v>2800</v>
      </c>
      <c r="D330" s="199"/>
      <c r="E330" s="201"/>
      <c r="F330" s="201"/>
      <c r="G330" s="201"/>
      <c r="H330" s="197"/>
      <c r="I330" s="197"/>
      <c r="J330" s="197"/>
      <c r="K330" s="200"/>
      <c r="L330" s="200"/>
      <c r="M330" s="180"/>
      <c r="N330" s="192">
        <f>C327+880187</f>
        <v>1030586</v>
      </c>
      <c r="O330" s="192">
        <f>C332+3874752</f>
        <v>4383343</v>
      </c>
      <c r="P330" s="192">
        <f>C328</f>
        <v>179700</v>
      </c>
    </row>
    <row r="331" spans="1:17" ht="13.95" hidden="1" customHeight="1">
      <c r="B331" s="89" t="s">
        <v>288</v>
      </c>
      <c r="C331" s="185">
        <v>1291584</v>
      </c>
      <c r="D331" s="197"/>
      <c r="E331" s="201"/>
      <c r="F331" s="201"/>
      <c r="G331" s="201"/>
      <c r="H331" s="197"/>
      <c r="I331" s="197"/>
      <c r="J331" s="197"/>
      <c r="K331" s="200"/>
      <c r="L331" s="200"/>
      <c r="M331" s="180"/>
      <c r="N331" s="192">
        <f>N330-N327</f>
        <v>367822</v>
      </c>
      <c r="O331" s="192">
        <f>O330-O327</f>
        <v>2583168</v>
      </c>
      <c r="P331" s="192">
        <f>P330-P327</f>
        <v>-2800</v>
      </c>
    </row>
    <row r="332" spans="1:17" ht="13.95" hidden="1" customHeight="1">
      <c r="B332" s="89" t="s">
        <v>257</v>
      </c>
      <c r="C332" s="185">
        <v>508591</v>
      </c>
      <c r="D332" s="197"/>
      <c r="E332" s="201"/>
      <c r="F332" s="201"/>
      <c r="G332" s="201"/>
      <c r="H332" s="197"/>
      <c r="I332" s="197"/>
      <c r="J332" s="197"/>
      <c r="K332" s="200"/>
      <c r="L332" s="200"/>
      <c r="M332" s="180"/>
      <c r="N332" s="192">
        <f>N331/M326</f>
        <v>445.84484848484851</v>
      </c>
      <c r="O332" s="192">
        <f>O331/M326</f>
        <v>3131.1127272727272</v>
      </c>
      <c r="P332" s="192">
        <f>P331/M326</f>
        <v>-3.393939393939394</v>
      </c>
    </row>
    <row r="333" spans="1:17" ht="13.95" hidden="1" customHeight="1">
      <c r="B333" s="89" t="s">
        <v>289</v>
      </c>
      <c r="C333" s="185">
        <v>512365</v>
      </c>
      <c r="D333" s="197"/>
      <c r="E333" s="201"/>
      <c r="F333" s="201"/>
      <c r="G333" s="201"/>
      <c r="H333" s="197"/>
      <c r="I333" s="197"/>
      <c r="J333" s="197"/>
      <c r="K333" s="200"/>
      <c r="L333" s="200"/>
      <c r="M333" s="180"/>
      <c r="N333" s="192">
        <f>D326*N332</f>
        <v>140886.97212121214</v>
      </c>
      <c r="O333" s="192">
        <f>D326*O332</f>
        <v>989431.62181818183</v>
      </c>
      <c r="P333" s="192">
        <f>D326*P332</f>
        <v>-1072.4848484848485</v>
      </c>
      <c r="Q333" s="192">
        <f>N333+O333+P333</f>
        <v>1129246.1090909091</v>
      </c>
    </row>
    <row r="334" spans="1:17" ht="13.95" hidden="1" customHeight="1">
      <c r="B334" s="101" t="s">
        <v>112</v>
      </c>
      <c r="C334" s="198">
        <f>SUM(C327:C333)</f>
        <v>2645439</v>
      </c>
      <c r="D334" s="197"/>
      <c r="E334" s="201"/>
      <c r="F334" s="201"/>
      <c r="G334" s="201"/>
      <c r="H334" s="197"/>
      <c r="I334" s="197"/>
      <c r="J334" s="197"/>
      <c r="K334" s="200"/>
      <c r="L334" s="200"/>
      <c r="M334" s="180"/>
      <c r="N334" s="192">
        <f>G326*N332</f>
        <v>891.68969696969702</v>
      </c>
      <c r="O334" s="192">
        <f>G326*O332</f>
        <v>6262.2254545454543</v>
      </c>
      <c r="P334" s="192">
        <f>G326*P332</f>
        <v>-6.7878787878787881</v>
      </c>
      <c r="Q334" s="192">
        <f t="shared" ref="Q334:Q339" si="57">N334+O334+P334</f>
        <v>7147.1272727272726</v>
      </c>
    </row>
    <row r="335" spans="1:17" ht="13.95" hidden="1" customHeight="1">
      <c r="N335" s="192">
        <f>H326*N332</f>
        <v>87385.590303030302</v>
      </c>
      <c r="O335" s="192">
        <f>H326*O332</f>
        <v>613698.09454545449</v>
      </c>
      <c r="P335" s="192">
        <f>H326*P332</f>
        <v>-665.21212121212125</v>
      </c>
      <c r="Q335" s="192">
        <f t="shared" si="57"/>
        <v>700418.47272727266</v>
      </c>
    </row>
    <row r="336" spans="1:17" ht="13.95" hidden="1" customHeight="1">
      <c r="N336" s="192">
        <f>I326*N332</f>
        <v>91844.038787878788</v>
      </c>
      <c r="O336" s="192">
        <f>I326*O332</f>
        <v>645009.2218181818</v>
      </c>
      <c r="P336" s="192">
        <f>I326*P332</f>
        <v>-699.15151515151513</v>
      </c>
      <c r="Q336" s="192">
        <f t="shared" si="57"/>
        <v>736154.10909090913</v>
      </c>
    </row>
    <row r="337" spans="1:17" ht="13.95" hidden="1" customHeight="1">
      <c r="N337" s="192">
        <f>J326*N332</f>
        <v>445.84484848484851</v>
      </c>
      <c r="O337" s="192">
        <f>J326*O332</f>
        <v>3131.1127272727272</v>
      </c>
      <c r="P337" s="192">
        <f>J326*P332</f>
        <v>-3.393939393939394</v>
      </c>
      <c r="Q337" s="192">
        <f t="shared" si="57"/>
        <v>3573.5636363636363</v>
      </c>
    </row>
    <row r="338" spans="1:17" ht="13.95" hidden="1" customHeight="1">
      <c r="N338" s="192">
        <f>K326*N332</f>
        <v>22738.087272727273</v>
      </c>
      <c r="O338" s="192">
        <f>K326*O332</f>
        <v>159686.74909090908</v>
      </c>
      <c r="P338" s="192">
        <f>K326*P332</f>
        <v>-173.09090909090909</v>
      </c>
      <c r="Q338" s="192">
        <f t="shared" si="57"/>
        <v>182251.74545454545</v>
      </c>
    </row>
    <row r="339" spans="1:17" ht="13.95" hidden="1" customHeight="1">
      <c r="N339" s="192">
        <f>L326*N332</f>
        <v>23629.77696969697</v>
      </c>
      <c r="O339" s="192">
        <f>L326*O332</f>
        <v>165948.97454545455</v>
      </c>
      <c r="P339" s="192">
        <f>L326*P332</f>
        <v>-179.87878787878788</v>
      </c>
      <c r="Q339" s="192">
        <f t="shared" si="57"/>
        <v>189398.87272727274</v>
      </c>
    </row>
    <row r="340" spans="1:17" ht="13.95" hidden="1" customHeight="1">
      <c r="M340" s="182" t="s">
        <v>294</v>
      </c>
      <c r="N340" s="182" t="s">
        <v>295</v>
      </c>
      <c r="O340" s="182" t="s">
        <v>296</v>
      </c>
    </row>
    <row r="341" spans="1:17" ht="13.95" hidden="1" customHeight="1">
      <c r="D341" s="180">
        <v>67</v>
      </c>
      <c r="E341" s="200"/>
      <c r="F341" s="200"/>
      <c r="G341" s="200">
        <v>17</v>
      </c>
      <c r="H341" s="180">
        <v>1</v>
      </c>
      <c r="I341" s="180">
        <v>72</v>
      </c>
      <c r="J341" s="180">
        <v>44</v>
      </c>
      <c r="K341" s="200">
        <v>17</v>
      </c>
      <c r="L341" s="200">
        <f>D341+G341+H341+I341+J341+K341</f>
        <v>218</v>
      </c>
    </row>
    <row r="342" spans="1:17" ht="27.6" hidden="1" customHeight="1">
      <c r="A342" s="182" t="s">
        <v>301</v>
      </c>
      <c r="B342" s="193" t="s">
        <v>282</v>
      </c>
      <c r="C342" s="198">
        <v>39742</v>
      </c>
      <c r="D342" s="199"/>
      <c r="E342" s="201"/>
      <c r="F342" s="201"/>
      <c r="G342" s="201"/>
      <c r="H342" s="197"/>
      <c r="I342" s="197"/>
      <c r="J342" s="197"/>
      <c r="K342" s="201"/>
      <c r="L342" s="201"/>
      <c r="M342" s="192">
        <f>C342+C344+C348</f>
        <v>195953</v>
      </c>
      <c r="N342" s="192">
        <f>C346+C347</f>
        <v>542463</v>
      </c>
      <c r="O342" s="192">
        <f>C343+C345</f>
        <v>2064267</v>
      </c>
      <c r="P342" s="192">
        <f>M342+N342+O342</f>
        <v>2802683</v>
      </c>
    </row>
    <row r="343" spans="1:17" ht="13.95" hidden="1" customHeight="1">
      <c r="B343" s="89" t="s">
        <v>225</v>
      </c>
      <c r="C343" s="198">
        <v>1880332</v>
      </c>
      <c r="D343" s="199"/>
      <c r="E343" s="201"/>
      <c r="F343" s="201"/>
      <c r="G343" s="201"/>
      <c r="H343" s="197"/>
      <c r="I343" s="197"/>
      <c r="J343" s="197"/>
      <c r="K343" s="201"/>
      <c r="L343" s="200"/>
      <c r="M343" s="192">
        <f>M342/L341</f>
        <v>898.86697247706422</v>
      </c>
      <c r="N343" s="192">
        <f>N342/L341</f>
        <v>2488.3623853211011</v>
      </c>
      <c r="O343" s="192">
        <f>O342/L341</f>
        <v>9469.1146788990827</v>
      </c>
    </row>
    <row r="344" spans="1:17" ht="13.95" hidden="1" customHeight="1">
      <c r="B344" s="89" t="s">
        <v>225</v>
      </c>
      <c r="C344" s="198">
        <v>21109</v>
      </c>
      <c r="D344" s="199"/>
      <c r="E344" s="201"/>
      <c r="F344" s="201"/>
      <c r="G344" s="201"/>
      <c r="H344" s="197"/>
      <c r="I344" s="197"/>
      <c r="J344" s="197"/>
      <c r="K344" s="201"/>
      <c r="L344" s="200"/>
    </row>
    <row r="345" spans="1:17" ht="13.95" hidden="1" customHeight="1">
      <c r="B345" s="89" t="s">
        <v>281</v>
      </c>
      <c r="C345" s="198">
        <v>183935</v>
      </c>
      <c r="D345" s="199"/>
      <c r="E345" s="201"/>
      <c r="F345" s="201"/>
      <c r="G345" s="201"/>
      <c r="H345" s="197"/>
      <c r="I345" s="197"/>
      <c r="J345" s="197"/>
      <c r="K345" s="201"/>
      <c r="L345" s="200"/>
      <c r="M345" s="192">
        <f>C342+232583</f>
        <v>272325</v>
      </c>
      <c r="N345" s="192">
        <f>C347+1499904</f>
        <v>1542399</v>
      </c>
      <c r="O345" s="192">
        <f>C343</f>
        <v>1880332</v>
      </c>
    </row>
    <row r="346" spans="1:17" ht="13.95" hidden="1" customHeight="1">
      <c r="B346" s="89" t="s">
        <v>288</v>
      </c>
      <c r="C346" s="198">
        <v>499968</v>
      </c>
      <c r="D346" s="197"/>
      <c r="E346" s="201"/>
      <c r="F346" s="201"/>
      <c r="G346" s="201"/>
      <c r="H346" s="197"/>
      <c r="I346" s="197"/>
      <c r="J346" s="197"/>
      <c r="K346" s="201"/>
      <c r="L346" s="200"/>
      <c r="M346" s="192">
        <f>M345-M342</f>
        <v>76372</v>
      </c>
      <c r="N346" s="192">
        <f>N345-N342</f>
        <v>999936</v>
      </c>
      <c r="O346" s="192">
        <f>O345-O342</f>
        <v>-183935</v>
      </c>
    </row>
    <row r="347" spans="1:17" ht="13.95" hidden="1" customHeight="1">
      <c r="B347" s="89" t="s">
        <v>257</v>
      </c>
      <c r="C347" s="198">
        <v>42495</v>
      </c>
      <c r="D347" s="197"/>
      <c r="E347" s="201"/>
      <c r="F347" s="201"/>
      <c r="G347" s="201"/>
      <c r="H347" s="197"/>
      <c r="I347" s="197"/>
      <c r="J347" s="197"/>
      <c r="K347" s="201"/>
      <c r="L347" s="200"/>
      <c r="M347" s="192">
        <f>M346/L341</f>
        <v>350.33027522935782</v>
      </c>
      <c r="N347" s="192">
        <f>N346/L341</f>
        <v>4586.8623853211011</v>
      </c>
      <c r="O347" s="192">
        <f>O346/L341</f>
        <v>-843.7385321100918</v>
      </c>
    </row>
    <row r="348" spans="1:17" ht="13.95" hidden="1" customHeight="1">
      <c r="B348" s="89" t="s">
        <v>289</v>
      </c>
      <c r="C348" s="198">
        <v>135102</v>
      </c>
      <c r="D348" s="197"/>
      <c r="E348" s="201"/>
      <c r="F348" s="201"/>
      <c r="G348" s="201"/>
      <c r="H348" s="197"/>
      <c r="I348" s="197"/>
      <c r="J348" s="197"/>
      <c r="K348" s="201"/>
      <c r="L348" s="200"/>
      <c r="M348" s="192">
        <f>D341*M347</f>
        <v>23472.128440366974</v>
      </c>
      <c r="N348" s="192">
        <f>D341*N347</f>
        <v>307319.77981651376</v>
      </c>
      <c r="O348" s="192">
        <f>D341*O347</f>
        <v>-56530.481651376147</v>
      </c>
      <c r="P348" s="192">
        <f t="shared" ref="P348:P353" si="58">M348+N348+O348</f>
        <v>274261.42660550459</v>
      </c>
    </row>
    <row r="349" spans="1:17" ht="13.95" hidden="1" customHeight="1">
      <c r="B349" s="101" t="s">
        <v>112</v>
      </c>
      <c r="C349" s="198">
        <f>SUM(C342:C348)</f>
        <v>2802683</v>
      </c>
      <c r="D349" s="197"/>
      <c r="E349" s="201"/>
      <c r="F349" s="201"/>
      <c r="G349" s="201"/>
      <c r="H349" s="197"/>
      <c r="I349" s="197"/>
      <c r="J349" s="197"/>
      <c r="K349" s="201"/>
      <c r="L349" s="200"/>
      <c r="M349" s="192">
        <f>G341*M347</f>
        <v>5955.6146788990827</v>
      </c>
      <c r="N349" s="192">
        <f>G341*N347</f>
        <v>77976.660550458721</v>
      </c>
      <c r="O349" s="192">
        <f>G341*O347</f>
        <v>-14343.555045871561</v>
      </c>
      <c r="P349" s="192">
        <f t="shared" si="58"/>
        <v>69588.72018348625</v>
      </c>
    </row>
    <row r="350" spans="1:17" ht="13.95" hidden="1" customHeight="1">
      <c r="M350" s="192">
        <f>H341*M347</f>
        <v>350.33027522935782</v>
      </c>
      <c r="N350" s="192">
        <f>H341*N347</f>
        <v>4586.8623853211011</v>
      </c>
      <c r="O350" s="192">
        <f>H341*O347</f>
        <v>-843.7385321100918</v>
      </c>
      <c r="P350" s="192">
        <f t="shared" si="58"/>
        <v>4093.4541284403667</v>
      </c>
    </row>
    <row r="351" spans="1:17" ht="13.95" hidden="1" customHeight="1">
      <c r="M351" s="192">
        <f>I341*M347</f>
        <v>25223.779816513765</v>
      </c>
      <c r="N351" s="192">
        <f>I341*N347</f>
        <v>330254.09174311929</v>
      </c>
      <c r="O351" s="192">
        <f>I341*O347</f>
        <v>-60749.17431192661</v>
      </c>
      <c r="P351" s="192">
        <f t="shared" si="58"/>
        <v>294728.69724770647</v>
      </c>
    </row>
    <row r="352" spans="1:17" ht="13.95" hidden="1" customHeight="1">
      <c r="M352" s="192">
        <f>J341*M347</f>
        <v>15414.532110091744</v>
      </c>
      <c r="N352" s="192">
        <f>J341*N347</f>
        <v>201821.94495412844</v>
      </c>
      <c r="O352" s="192">
        <f>J341*O347</f>
        <v>-37124.495412844037</v>
      </c>
      <c r="P352" s="192">
        <f t="shared" si="58"/>
        <v>180111.98165137615</v>
      </c>
    </row>
    <row r="353" spans="13:16" ht="13.95" hidden="1" customHeight="1">
      <c r="M353" s="192">
        <f>K341*M347</f>
        <v>5955.6146788990827</v>
      </c>
      <c r="N353" s="192">
        <f>K341*N347</f>
        <v>77976.660550458721</v>
      </c>
      <c r="O353" s="192">
        <f>K341*O347</f>
        <v>-14343.555045871561</v>
      </c>
      <c r="P353" s="192">
        <f t="shared" si="58"/>
        <v>69588.72018348625</v>
      </c>
    </row>
    <row r="354" spans="13:16" ht="13.95" hidden="1" customHeight="1"/>
    <row r="355" spans="13:16" ht="13.95" hidden="1" customHeight="1"/>
    <row r="356" spans="13:16" ht="13.95" hidden="1" customHeight="1"/>
    <row r="357" spans="13:16" ht="13.95" hidden="1" customHeight="1"/>
    <row r="358" spans="13:16" ht="13.95" hidden="1" customHeight="1"/>
    <row r="359" spans="13:16" ht="13.95" hidden="1" customHeight="1"/>
    <row r="360" spans="13:16" ht="13.95" hidden="1" customHeight="1"/>
    <row r="361" spans="13:16" ht="13.95" hidden="1" customHeight="1"/>
    <row r="362" spans="13:16" ht="13.95" hidden="1" customHeight="1"/>
    <row r="363" spans="13:16" ht="13.95" hidden="1" customHeight="1"/>
    <row r="364" spans="13:16" ht="13.95" hidden="1" customHeight="1"/>
    <row r="365" spans="13:16" ht="13.95" hidden="1" customHeight="1"/>
    <row r="366" spans="13:16" ht="13.95" hidden="1" customHeight="1"/>
    <row r="367" spans="13:16" ht="13.95" hidden="1" customHeight="1"/>
    <row r="368" spans="13:16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  <row r="506" ht="13.95" hidden="1" customHeight="1"/>
    <row r="507" ht="13.95" hidden="1" customHeight="1"/>
  </sheetData>
  <mergeCells count="32">
    <mergeCell ref="B221:M221"/>
    <mergeCell ref="A83:A115"/>
    <mergeCell ref="B83:B92"/>
    <mergeCell ref="B93:B98"/>
    <mergeCell ref="B100:B104"/>
    <mergeCell ref="A189:A220"/>
    <mergeCell ref="B189:B197"/>
    <mergeCell ref="B198:B200"/>
    <mergeCell ref="A116:A150"/>
    <mergeCell ref="B116:B126"/>
    <mergeCell ref="B127:B134"/>
    <mergeCell ref="B136:B139"/>
    <mergeCell ref="A151:A188"/>
    <mergeCell ref="B151:B162"/>
    <mergeCell ref="B163:B171"/>
    <mergeCell ref="B172:B177"/>
    <mergeCell ref="A12:A47"/>
    <mergeCell ref="B12:B23"/>
    <mergeCell ref="B24:B30"/>
    <mergeCell ref="A48:A82"/>
    <mergeCell ref="B48:B58"/>
    <mergeCell ref="B59:B66"/>
    <mergeCell ref="B68:B71"/>
    <mergeCell ref="B32:B36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9"/>
  <sheetViews>
    <sheetView zoomScale="70" zoomScaleNormal="70" workbookViewId="0">
      <pane xSplit="1" ySplit="12" topLeftCell="B22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1" customWidth="1"/>
    <col min="2" max="2" width="21.5546875" style="221" customWidth="1"/>
    <col min="3" max="3" width="23.6640625" style="221" customWidth="1"/>
    <col min="4" max="4" width="9.44140625" style="222" customWidth="1"/>
    <col min="5" max="5" width="12.5546875" style="222" hidden="1" customWidth="1"/>
    <col min="6" max="6" width="12.88671875" style="222" hidden="1" customWidth="1"/>
    <col min="7" max="7" width="12.33203125" style="222" customWidth="1"/>
    <col min="8" max="8" width="12.6640625" style="222" customWidth="1"/>
    <col min="9" max="9" width="12.33203125" style="222" customWidth="1"/>
    <col min="10" max="10" width="13" style="222" customWidth="1"/>
    <col min="11" max="11" width="13.109375" style="222" customWidth="1"/>
    <col min="12" max="12" width="13.88671875" style="221" customWidth="1"/>
    <col min="13" max="13" width="13.33203125" style="222" customWidth="1"/>
    <col min="14" max="14" width="15.109375" style="222" customWidth="1"/>
    <col min="15" max="15" width="16" style="222" customWidth="1"/>
    <col min="16" max="16" width="5.6640625" style="222" hidden="1" customWidth="1"/>
    <col min="17" max="17" width="15.109375" style="221" customWidth="1"/>
    <col min="18" max="18" width="0.44140625" style="221" hidden="1" customWidth="1"/>
    <col min="19" max="19" width="14.33203125" style="221" customWidth="1"/>
    <col min="20" max="20" width="16.5546875" style="222" customWidth="1"/>
    <col min="21" max="21" width="14.44140625" style="222" customWidth="1"/>
    <col min="22" max="22" width="15.33203125" style="222" customWidth="1"/>
    <col min="23" max="23" width="15.33203125" style="221" hidden="1" customWidth="1"/>
    <col min="24" max="24" width="17.5546875" style="221" hidden="1" customWidth="1"/>
    <col min="25" max="25" width="18.6640625" style="221" hidden="1" customWidth="1"/>
    <col min="26" max="26" width="9.109375" style="221" hidden="1" customWidth="1"/>
    <col min="27" max="27" width="16.5546875" style="221" hidden="1" customWidth="1"/>
    <col min="28" max="28" width="17.109375" style="221" hidden="1" customWidth="1"/>
    <col min="29" max="29" width="15.6640625" style="221" hidden="1" customWidth="1"/>
    <col min="30" max="33" width="9.109375" style="221" customWidth="1"/>
    <col min="34" max="34" width="14.88671875" style="221" customWidth="1"/>
    <col min="35" max="16384" width="9.109375" style="221"/>
  </cols>
  <sheetData>
    <row r="1" spans="1:29" hidden="1">
      <c r="T1" s="223" t="s">
        <v>203</v>
      </c>
    </row>
    <row r="2" spans="1:29" hidden="1">
      <c r="T2" s="223" t="s">
        <v>204</v>
      </c>
    </row>
    <row r="3" spans="1:29">
      <c r="D3" s="221"/>
      <c r="E3" s="221"/>
      <c r="F3" s="221"/>
      <c r="G3" s="221"/>
      <c r="H3" s="221"/>
      <c r="I3" s="221"/>
      <c r="J3" s="221"/>
      <c r="K3" s="221"/>
      <c r="M3" s="221"/>
      <c r="N3" s="221"/>
      <c r="O3" s="221"/>
      <c r="P3" s="221"/>
      <c r="T3" s="280"/>
      <c r="U3" s="221"/>
      <c r="V3" s="221"/>
    </row>
    <row r="4" spans="1:29">
      <c r="D4" s="221"/>
      <c r="E4" s="221"/>
      <c r="F4" s="221"/>
      <c r="G4" s="221"/>
      <c r="H4" s="221"/>
      <c r="I4" s="221"/>
      <c r="J4" s="221"/>
      <c r="K4" s="221"/>
      <c r="M4" s="221"/>
      <c r="N4" s="221"/>
      <c r="O4" s="221"/>
      <c r="P4" s="221"/>
      <c r="T4" s="280"/>
      <c r="U4" s="221"/>
      <c r="V4" s="221"/>
    </row>
    <row r="5" spans="1:29">
      <c r="D5" s="221"/>
      <c r="E5" s="221"/>
      <c r="F5" s="221"/>
      <c r="G5" s="221"/>
      <c r="H5" s="221"/>
      <c r="I5" s="221"/>
      <c r="J5" s="221"/>
      <c r="K5" s="221"/>
      <c r="M5" s="221"/>
      <c r="N5" s="221"/>
      <c r="O5" s="221"/>
      <c r="P5" s="221"/>
      <c r="T5" s="280" t="s">
        <v>175</v>
      </c>
      <c r="U5" s="221"/>
      <c r="V5" s="221"/>
    </row>
    <row r="6" spans="1:29">
      <c r="D6" s="221"/>
      <c r="E6" s="221"/>
      <c r="F6" s="221"/>
      <c r="G6" s="221"/>
      <c r="H6" s="221"/>
      <c r="I6" s="221"/>
      <c r="J6" s="221"/>
      <c r="K6" s="221"/>
      <c r="M6" s="221"/>
      <c r="N6" s="221"/>
      <c r="O6" s="221"/>
      <c r="P6" s="221"/>
      <c r="T6" s="280" t="s">
        <v>421</v>
      </c>
      <c r="U6" s="221"/>
      <c r="V6" s="221"/>
    </row>
    <row r="7" spans="1:29">
      <c r="A7" s="563" t="s">
        <v>368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  <c r="L7" s="563"/>
      <c r="M7" s="563"/>
      <c r="N7" s="563"/>
      <c r="O7" s="563"/>
      <c r="P7" s="563"/>
      <c r="Q7" s="563"/>
      <c r="R7" s="563"/>
      <c r="S7" s="563"/>
      <c r="T7" s="563"/>
      <c r="U7" s="563"/>
      <c r="V7" s="563"/>
    </row>
    <row r="8" spans="1:29" ht="17.399999999999999">
      <c r="A8" s="224" t="s">
        <v>155</v>
      </c>
      <c r="D8" s="221"/>
      <c r="E8" s="221"/>
      <c r="F8" s="221"/>
      <c r="G8" s="221"/>
      <c r="H8" s="221"/>
      <c r="I8" s="221"/>
      <c r="J8" s="221"/>
      <c r="K8" s="221"/>
      <c r="M8" s="221"/>
      <c r="N8" s="221"/>
      <c r="O8" s="221"/>
      <c r="P8" s="221"/>
      <c r="T8" s="221"/>
      <c r="U8" s="221"/>
      <c r="V8" s="221"/>
    </row>
    <row r="9" spans="1:29">
      <c r="D9" s="221"/>
      <c r="E9" s="221"/>
      <c r="F9" s="221"/>
      <c r="G9" s="221"/>
      <c r="H9" s="221"/>
      <c r="I9" s="221"/>
      <c r="J9" s="221"/>
      <c r="K9" s="221"/>
      <c r="M9" s="221"/>
      <c r="N9" s="221"/>
      <c r="O9" s="221"/>
      <c r="P9" s="221"/>
      <c r="T9" s="221"/>
      <c r="U9" s="221"/>
      <c r="V9" s="221"/>
    </row>
    <row r="10" spans="1:29" ht="48" customHeight="1">
      <c r="A10" s="237" t="s">
        <v>3</v>
      </c>
      <c r="B10" s="237" t="s">
        <v>81</v>
      </c>
      <c r="C10" s="237" t="s">
        <v>152</v>
      </c>
      <c r="D10" s="235" t="s">
        <v>4</v>
      </c>
      <c r="E10" s="564" t="s">
        <v>5</v>
      </c>
      <c r="F10" s="565"/>
      <c r="G10" s="565"/>
      <c r="H10" s="565"/>
      <c r="I10" s="566"/>
      <c r="J10" s="564" t="s">
        <v>6</v>
      </c>
      <c r="K10" s="567"/>
      <c r="L10" s="567"/>
      <c r="M10" s="568"/>
      <c r="N10" s="569" t="s">
        <v>7</v>
      </c>
      <c r="O10" s="569"/>
      <c r="P10" s="569"/>
      <c r="Q10" s="569"/>
      <c r="R10" s="569"/>
      <c r="S10" s="569"/>
      <c r="T10" s="569"/>
      <c r="U10" s="569"/>
      <c r="V10" s="569"/>
    </row>
    <row r="11" spans="1:29" ht="108.6" customHeight="1">
      <c r="A11" s="228"/>
      <c r="B11" s="228"/>
      <c r="C11" s="228"/>
      <c r="D11" s="229"/>
      <c r="E11" s="292" t="s">
        <v>380</v>
      </c>
      <c r="F11" s="230" t="s">
        <v>393</v>
      </c>
      <c r="G11" s="230" t="s">
        <v>382</v>
      </c>
      <c r="H11" s="414" t="s">
        <v>394</v>
      </c>
      <c r="I11" s="414" t="s">
        <v>369</v>
      </c>
      <c r="J11" s="227" t="s">
        <v>79</v>
      </c>
      <c r="K11" s="227" t="s">
        <v>224</v>
      </c>
      <c r="L11" s="225" t="s">
        <v>11</v>
      </c>
      <c r="M11" s="231" t="s">
        <v>12</v>
      </c>
      <c r="N11" s="573" t="s">
        <v>260</v>
      </c>
      <c r="O11" s="573"/>
      <c r="P11" s="573"/>
      <c r="Q11" s="573"/>
      <c r="R11" s="573"/>
      <c r="S11" s="573"/>
      <c r="T11" s="573"/>
      <c r="U11" s="416" t="s">
        <v>325</v>
      </c>
      <c r="V11" s="416" t="s">
        <v>369</v>
      </c>
      <c r="AA11" s="221">
        <v>21722659.059999999</v>
      </c>
      <c r="AB11" s="233">
        <f>AA11+U22</f>
        <v>23321680.5</v>
      </c>
    </row>
    <row r="12" spans="1:29" ht="72.599999999999994" customHeight="1">
      <c r="A12" s="225" t="s">
        <v>13</v>
      </c>
      <c r="B12" s="225" t="s">
        <v>14</v>
      </c>
      <c r="C12" s="234"/>
      <c r="D12" s="226" t="s">
        <v>15</v>
      </c>
      <c r="E12" s="226" t="s">
        <v>16</v>
      </c>
      <c r="F12" s="226" t="s">
        <v>16</v>
      </c>
      <c r="G12" s="226" t="s">
        <v>16</v>
      </c>
      <c r="H12" s="226" t="s">
        <v>16</v>
      </c>
      <c r="I12" s="226" t="s">
        <v>16</v>
      </c>
      <c r="J12" s="227" t="s">
        <v>17</v>
      </c>
      <c r="K12" s="227" t="s">
        <v>17</v>
      </c>
      <c r="L12" s="225" t="s">
        <v>17</v>
      </c>
      <c r="M12" s="226" t="s">
        <v>17</v>
      </c>
      <c r="N12" s="227" t="s">
        <v>85</v>
      </c>
      <c r="O12" s="227" t="s">
        <v>83</v>
      </c>
      <c r="P12" s="235" t="s">
        <v>228</v>
      </c>
      <c r="Q12" s="237" t="s">
        <v>84</v>
      </c>
      <c r="R12" s="237" t="s">
        <v>227</v>
      </c>
      <c r="S12" s="237" t="s">
        <v>251</v>
      </c>
      <c r="T12" s="306" t="s">
        <v>12</v>
      </c>
      <c r="U12" s="226" t="s">
        <v>17</v>
      </c>
      <c r="V12" s="226" t="s">
        <v>17</v>
      </c>
      <c r="W12" s="233"/>
      <c r="AA12" s="233">
        <f>U13-AB11</f>
        <v>-9162648.120000001</v>
      </c>
    </row>
    <row r="13" spans="1:29" ht="36" customHeight="1">
      <c r="A13" s="294" t="s">
        <v>18</v>
      </c>
      <c r="B13" s="242"/>
      <c r="C13" s="242"/>
      <c r="D13" s="291"/>
      <c r="E13" s="295"/>
      <c r="F13" s="295"/>
      <c r="G13" s="295"/>
      <c r="H13" s="295"/>
      <c r="I13" s="295"/>
      <c r="J13" s="295"/>
      <c r="K13" s="295"/>
      <c r="L13" s="307"/>
      <c r="M13" s="296"/>
      <c r="N13" s="308">
        <f>N14+N21</f>
        <v>7407205.2000000002</v>
      </c>
      <c r="O13" s="308">
        <f>O14+O21</f>
        <v>1542120.36</v>
      </c>
      <c r="P13" s="308"/>
      <c r="Q13" s="308">
        <f>Q14+Q21</f>
        <v>11975600.939999999</v>
      </c>
      <c r="R13" s="308"/>
      <c r="S13" s="308">
        <f>S22</f>
        <v>1599021.44</v>
      </c>
      <c r="T13" s="308">
        <f>T14+T21+T22</f>
        <v>22523947.939999998</v>
      </c>
      <c r="U13" s="297">
        <f>U14+U21+U22</f>
        <v>14159032.379999999</v>
      </c>
      <c r="V13" s="297">
        <f>V14+V21+V22</f>
        <v>14159032.379999999</v>
      </c>
      <c r="W13" s="233">
        <v>9687443.9800000004</v>
      </c>
      <c r="X13" s="233">
        <f>W13-Q13</f>
        <v>-2288156.959999999</v>
      </c>
      <c r="Y13" s="221">
        <f>X13/144</f>
        <v>-15889.978888888882</v>
      </c>
      <c r="AA13" s="221">
        <v>8719839.9800000004</v>
      </c>
      <c r="AB13" s="233">
        <f>AA13-Q13</f>
        <v>-3255760.959999999</v>
      </c>
      <c r="AC13" s="236">
        <f>AB13/I22</f>
        <v>-25238.457054263559</v>
      </c>
    </row>
    <row r="14" spans="1:29" ht="85.5" customHeight="1">
      <c r="A14" s="225" t="s">
        <v>246</v>
      </c>
      <c r="B14" s="237" t="s">
        <v>76</v>
      </c>
      <c r="C14" s="237"/>
      <c r="D14" s="291"/>
      <c r="E14" s="295"/>
      <c r="F14" s="295"/>
      <c r="G14" s="295"/>
      <c r="H14" s="295"/>
      <c r="I14" s="295"/>
      <c r="J14" s="295"/>
      <c r="K14" s="295"/>
      <c r="L14" s="307"/>
      <c r="M14" s="295"/>
      <c r="N14" s="295">
        <f>N15+N16+N19+N17+N20+N18</f>
        <v>7407205.2000000002</v>
      </c>
      <c r="O14" s="295">
        <f>O15+O16+O19+O17+O20+O18</f>
        <v>1542120.36</v>
      </c>
      <c r="P14" s="295">
        <f t="shared" ref="P14:S14" si="0">P15+P16+P19+P17+P20</f>
        <v>0</v>
      </c>
      <c r="Q14" s="307">
        <f>Q15+Q16+Q17+Q18+Q19+Q20</f>
        <v>9210414.6999999993</v>
      </c>
      <c r="R14" s="307">
        <f t="shared" si="0"/>
        <v>0</v>
      </c>
      <c r="S14" s="307">
        <f t="shared" si="0"/>
        <v>0</v>
      </c>
      <c r="T14" s="295">
        <f>T15+T16+T18+T19+T17+T20</f>
        <v>18159740.259999998</v>
      </c>
      <c r="U14" s="295">
        <f>U15+U16+U19+U17+U20</f>
        <v>9794824.6999999993</v>
      </c>
      <c r="V14" s="295">
        <f>V15+V16+V19+V17+V20</f>
        <v>9794824.6999999993</v>
      </c>
      <c r="W14" s="233">
        <v>21722659.059999999</v>
      </c>
      <c r="X14" s="233"/>
    </row>
    <row r="15" spans="1:29" ht="24" customHeight="1">
      <c r="A15" s="225"/>
      <c r="B15" s="242" t="s">
        <v>266</v>
      </c>
      <c r="C15" s="574" t="s">
        <v>269</v>
      </c>
      <c r="D15" s="291" t="s">
        <v>20</v>
      </c>
      <c r="E15" s="298">
        <v>14</v>
      </c>
      <c r="F15" s="298">
        <v>14</v>
      </c>
      <c r="G15" s="298">
        <v>13</v>
      </c>
      <c r="H15" s="298">
        <v>14</v>
      </c>
      <c r="I15" s="298">
        <v>14</v>
      </c>
      <c r="J15" s="295">
        <v>52486.09</v>
      </c>
      <c r="K15" s="295">
        <f>(12142.68)</f>
        <v>12142.68</v>
      </c>
      <c r="L15" s="307">
        <v>72522.95</v>
      </c>
      <c r="M15" s="295">
        <f>J15+K15+L15</f>
        <v>137151.72</v>
      </c>
      <c r="N15" s="295">
        <f t="shared" ref="N15:N20" si="1">G15*J15</f>
        <v>682319.16999999993</v>
      </c>
      <c r="O15" s="295">
        <f t="shared" ref="O15:O21" si="2">G15*K15</f>
        <v>157854.84</v>
      </c>
      <c r="P15" s="295"/>
      <c r="Q15" s="307">
        <f t="shared" ref="Q15:Q20" si="3">G15*L15</f>
        <v>942798.35</v>
      </c>
      <c r="R15" s="307"/>
      <c r="S15" s="307">
        <v>0</v>
      </c>
      <c r="T15" s="295">
        <f t="shared" ref="T15:T21" si="4">SUM(N15:Q15)</f>
        <v>1782972.3599999999</v>
      </c>
      <c r="U15" s="295">
        <v>0</v>
      </c>
      <c r="V15" s="295">
        <v>0</v>
      </c>
      <c r="X15" s="233">
        <f>W14-U13</f>
        <v>7563626.6799999997</v>
      </c>
    </row>
    <row r="16" spans="1:29" ht="25.95" customHeight="1">
      <c r="A16" s="242"/>
      <c r="B16" s="242" t="s">
        <v>264</v>
      </c>
      <c r="C16" s="575"/>
      <c r="D16" s="291" t="s">
        <v>20</v>
      </c>
      <c r="E16" s="298">
        <v>87</v>
      </c>
      <c r="F16" s="298">
        <v>87</v>
      </c>
      <c r="G16" s="298">
        <v>67</v>
      </c>
      <c r="H16" s="298">
        <v>87</v>
      </c>
      <c r="I16" s="298">
        <v>87</v>
      </c>
      <c r="J16" s="295">
        <v>41549.4</v>
      </c>
      <c r="K16" s="295">
        <f t="shared" ref="K16:K20" si="5">(12142.68)</f>
        <v>12142.68</v>
      </c>
      <c r="L16" s="307">
        <v>72522.95</v>
      </c>
      <c r="M16" s="295">
        <f>J16+K16+L16</f>
        <v>126215.03</v>
      </c>
      <c r="N16" s="295">
        <f t="shared" si="1"/>
        <v>2783809.8000000003</v>
      </c>
      <c r="O16" s="295">
        <f t="shared" si="2"/>
        <v>813559.56</v>
      </c>
      <c r="P16" s="295"/>
      <c r="Q16" s="307">
        <f>G16*L16+0.05</f>
        <v>4859037.6999999993</v>
      </c>
      <c r="R16" s="307"/>
      <c r="S16" s="307">
        <v>0</v>
      </c>
      <c r="T16" s="295">
        <f t="shared" si="4"/>
        <v>8456407.0599999987</v>
      </c>
      <c r="U16" s="295">
        <f t="shared" ref="U16:U21" si="6">T16</f>
        <v>8456407.0599999987</v>
      </c>
      <c r="V16" s="295">
        <f t="shared" ref="V16:V21" si="7">U16</f>
        <v>8456407.0599999987</v>
      </c>
      <c r="X16" s="233"/>
    </row>
    <row r="17" spans="1:29" ht="93" customHeight="1">
      <c r="A17" s="242"/>
      <c r="B17" s="508" t="s">
        <v>263</v>
      </c>
      <c r="C17" s="576"/>
      <c r="D17" s="291" t="s">
        <v>20</v>
      </c>
      <c r="E17" s="298">
        <v>0</v>
      </c>
      <c r="F17" s="298">
        <v>0</v>
      </c>
      <c r="G17" s="298">
        <f>(E17/12*8)+(F17/12*4)</f>
        <v>0</v>
      </c>
      <c r="H17" s="298">
        <v>0</v>
      </c>
      <c r="I17" s="298">
        <v>0</v>
      </c>
      <c r="J17" s="299">
        <v>81939.37</v>
      </c>
      <c r="K17" s="295">
        <f t="shared" si="5"/>
        <v>12142.68</v>
      </c>
      <c r="L17" s="307">
        <v>72522.95</v>
      </c>
      <c r="M17" s="295">
        <f t="shared" ref="M17:M82" si="8">J17+K17+L17</f>
        <v>166605</v>
      </c>
      <c r="N17" s="295">
        <f t="shared" si="1"/>
        <v>0</v>
      </c>
      <c r="O17" s="295">
        <f t="shared" si="2"/>
        <v>0</v>
      </c>
      <c r="P17" s="295"/>
      <c r="Q17" s="307">
        <f t="shared" si="3"/>
        <v>0</v>
      </c>
      <c r="R17" s="307"/>
      <c r="S17" s="307">
        <v>0</v>
      </c>
      <c r="T17" s="295">
        <f t="shared" si="4"/>
        <v>0</v>
      </c>
      <c r="U17" s="295">
        <f t="shared" si="6"/>
        <v>0</v>
      </c>
      <c r="V17" s="295">
        <f t="shared" si="7"/>
        <v>0</v>
      </c>
      <c r="X17" s="233"/>
    </row>
    <row r="18" spans="1:29" ht="112.95" customHeight="1">
      <c r="A18" s="242"/>
      <c r="B18" s="509" t="s">
        <v>264</v>
      </c>
      <c r="C18" s="510" t="s">
        <v>268</v>
      </c>
      <c r="D18" s="499" t="s">
        <v>20</v>
      </c>
      <c r="E18" s="298">
        <v>28</v>
      </c>
      <c r="F18" s="298">
        <v>28</v>
      </c>
      <c r="G18" s="298">
        <v>40</v>
      </c>
      <c r="H18" s="298">
        <v>28</v>
      </c>
      <c r="I18" s="298">
        <v>28</v>
      </c>
      <c r="J18" s="299">
        <v>79882.95</v>
      </c>
      <c r="K18" s="295">
        <f t="shared" si="5"/>
        <v>12142.68</v>
      </c>
      <c r="L18" s="307">
        <v>72522.95</v>
      </c>
      <c r="M18" s="295">
        <f t="shared" ref="M18" si="9">J18+K18+L18</f>
        <v>164548.58000000002</v>
      </c>
      <c r="N18" s="295">
        <f t="shared" si="1"/>
        <v>3195318</v>
      </c>
      <c r="O18" s="295">
        <f t="shared" ref="O18" si="10">G18*K18</f>
        <v>485707.2</v>
      </c>
      <c r="P18" s="295"/>
      <c r="Q18" s="307">
        <f t="shared" ref="Q18" si="11">G18*L18</f>
        <v>2900918</v>
      </c>
      <c r="R18" s="307"/>
      <c r="S18" s="307">
        <v>0</v>
      </c>
      <c r="T18" s="295">
        <f t="shared" ref="T18" si="12">SUM(N18:Q18)</f>
        <v>6581943.2000000002</v>
      </c>
      <c r="U18" s="295">
        <f t="shared" si="6"/>
        <v>6581943.2000000002</v>
      </c>
      <c r="V18" s="295">
        <f t="shared" ref="V18" si="13">U18</f>
        <v>6581943.2000000002</v>
      </c>
      <c r="X18" s="233"/>
    </row>
    <row r="19" spans="1:29" ht="112.95" customHeight="1">
      <c r="A19" s="242"/>
      <c r="B19" s="242" t="s">
        <v>420</v>
      </c>
      <c r="C19" s="225" t="s">
        <v>268</v>
      </c>
      <c r="D19" s="291" t="s">
        <v>20</v>
      </c>
      <c r="E19" s="298">
        <v>28</v>
      </c>
      <c r="F19" s="298">
        <v>28</v>
      </c>
      <c r="G19" s="298">
        <v>7</v>
      </c>
      <c r="H19" s="298">
        <v>0</v>
      </c>
      <c r="I19" s="298">
        <v>0</v>
      </c>
      <c r="J19" s="299">
        <v>106536.89</v>
      </c>
      <c r="K19" s="295">
        <f t="shared" si="5"/>
        <v>12142.68</v>
      </c>
      <c r="L19" s="307">
        <v>72522.95</v>
      </c>
      <c r="M19" s="295">
        <f t="shared" si="8"/>
        <v>191202.52000000002</v>
      </c>
      <c r="N19" s="295">
        <f t="shared" si="1"/>
        <v>745758.23</v>
      </c>
      <c r="O19" s="295">
        <f t="shared" si="2"/>
        <v>84998.760000000009</v>
      </c>
      <c r="P19" s="295"/>
      <c r="Q19" s="307">
        <f t="shared" si="3"/>
        <v>507660.64999999997</v>
      </c>
      <c r="R19" s="307"/>
      <c r="S19" s="307">
        <v>0</v>
      </c>
      <c r="T19" s="295">
        <f t="shared" si="4"/>
        <v>1338417.6399999999</v>
      </c>
      <c r="U19" s="295">
        <f t="shared" si="6"/>
        <v>1338417.6399999999</v>
      </c>
      <c r="V19" s="295">
        <f t="shared" si="7"/>
        <v>1338417.6399999999</v>
      </c>
      <c r="X19" s="233"/>
    </row>
    <row r="20" spans="1:29" ht="107.25" customHeight="1">
      <c r="A20" s="242"/>
      <c r="B20" s="225" t="s">
        <v>265</v>
      </c>
      <c r="C20" s="225" t="s">
        <v>267</v>
      </c>
      <c r="D20" s="291" t="s">
        <v>31</v>
      </c>
      <c r="E20" s="298">
        <v>0</v>
      </c>
      <c r="F20" s="298">
        <v>0</v>
      </c>
      <c r="G20" s="298">
        <f t="shared" ref="G20" si="14">((E20*8)+(F20*4))/12</f>
        <v>0</v>
      </c>
      <c r="H20" s="298">
        <v>0</v>
      </c>
      <c r="I20" s="298">
        <v>0</v>
      </c>
      <c r="J20" s="299">
        <v>805924.76</v>
      </c>
      <c r="K20" s="295">
        <f t="shared" si="5"/>
        <v>12142.68</v>
      </c>
      <c r="L20" s="307">
        <v>72522.95</v>
      </c>
      <c r="M20" s="295">
        <v>856310.33297555987</v>
      </c>
      <c r="N20" s="295">
        <f t="shared" si="1"/>
        <v>0</v>
      </c>
      <c r="O20" s="295">
        <f t="shared" si="2"/>
        <v>0</v>
      </c>
      <c r="P20" s="295"/>
      <c r="Q20" s="307">
        <f t="shared" si="3"/>
        <v>0</v>
      </c>
      <c r="R20" s="307"/>
      <c r="S20" s="307"/>
      <c r="T20" s="295">
        <f t="shared" si="4"/>
        <v>0</v>
      </c>
      <c r="U20" s="295">
        <f t="shared" si="6"/>
        <v>0</v>
      </c>
      <c r="V20" s="295">
        <f t="shared" si="7"/>
        <v>0</v>
      </c>
      <c r="X20" s="233">
        <f>((3*8)+(0*4))/12</f>
        <v>2</v>
      </c>
    </row>
    <row r="21" spans="1:29" s="240" customFormat="1" ht="69.599999999999994" customHeight="1">
      <c r="A21" s="292" t="s">
        <v>247</v>
      </c>
      <c r="B21" s="291" t="s">
        <v>28</v>
      </c>
      <c r="C21" s="291" t="s">
        <v>219</v>
      </c>
      <c r="D21" s="291"/>
      <c r="E21" s="298">
        <f>E19+E17+E16+E15+E20</f>
        <v>129</v>
      </c>
      <c r="F21" s="298">
        <f>F19+F17+F16+F15+F20</f>
        <v>129</v>
      </c>
      <c r="G21" s="298">
        <f>G19+G17+G16+G15+G20+G18</f>
        <v>127</v>
      </c>
      <c r="H21" s="298">
        <f t="shared" ref="H21:I21" si="15">H19+H17+H16+H15+H20</f>
        <v>101</v>
      </c>
      <c r="I21" s="298">
        <f t="shared" si="15"/>
        <v>101</v>
      </c>
      <c r="J21" s="295"/>
      <c r="K21" s="295"/>
      <c r="L21" s="307">
        <v>21773.119999999999</v>
      </c>
      <c r="M21" s="295">
        <f>J21+K21+L21</f>
        <v>21773.119999999999</v>
      </c>
      <c r="N21" s="298">
        <f>E21*J21</f>
        <v>0</v>
      </c>
      <c r="O21" s="295">
        <f t="shared" si="2"/>
        <v>0</v>
      </c>
      <c r="P21" s="295"/>
      <c r="Q21" s="307">
        <f>G21*L21</f>
        <v>2765186.2399999998</v>
      </c>
      <c r="R21" s="307"/>
      <c r="S21" s="307">
        <v>0</v>
      </c>
      <c r="T21" s="295">
        <f t="shared" si="4"/>
        <v>2765186.2399999998</v>
      </c>
      <c r="U21" s="295">
        <f t="shared" si="6"/>
        <v>2765186.2399999998</v>
      </c>
      <c r="V21" s="295">
        <f t="shared" si="7"/>
        <v>2765186.2399999998</v>
      </c>
      <c r="AA21" s="241">
        <f>18835786.28+U35</f>
        <v>20031904.68</v>
      </c>
      <c r="AB21" s="241">
        <f>U25-AA21</f>
        <v>-1247693.1900000013</v>
      </c>
      <c r="AC21" s="241"/>
    </row>
    <row r="22" spans="1:29" s="222" customFormat="1" ht="27.6" customHeight="1">
      <c r="A22" s="291"/>
      <c r="B22" s="291" t="s">
        <v>28</v>
      </c>
      <c r="C22" s="291" t="s">
        <v>220</v>
      </c>
      <c r="D22" s="291"/>
      <c r="E22" s="298"/>
      <c r="F22" s="298"/>
      <c r="G22" s="298">
        <v>127</v>
      </c>
      <c r="H22" s="298">
        <v>129</v>
      </c>
      <c r="I22" s="298">
        <v>129</v>
      </c>
      <c r="J22" s="295"/>
      <c r="K22" s="295"/>
      <c r="L22" s="307">
        <v>12590.72</v>
      </c>
      <c r="M22" s="295">
        <f>J22+K22+L22</f>
        <v>12590.72</v>
      </c>
      <c r="N22" s="298"/>
      <c r="O22" s="295"/>
      <c r="P22" s="295"/>
      <c r="Q22" s="307"/>
      <c r="R22" s="307"/>
      <c r="S22" s="307">
        <f>G22*L22</f>
        <v>1599021.44</v>
      </c>
      <c r="T22" s="295">
        <f>S22</f>
        <v>1599021.44</v>
      </c>
      <c r="U22" s="295">
        <f>S22</f>
        <v>1599021.44</v>
      </c>
      <c r="V22" s="295">
        <f>S22</f>
        <v>1599021.44</v>
      </c>
    </row>
    <row r="23" spans="1:29" ht="18.75" hidden="1" customHeight="1">
      <c r="A23" s="242"/>
      <c r="B23" s="237"/>
      <c r="C23" s="242" t="s">
        <v>226</v>
      </c>
      <c r="D23" s="291"/>
      <c r="E23" s="298"/>
      <c r="F23" s="298"/>
      <c r="G23" s="298"/>
      <c r="H23" s="298"/>
      <c r="I23" s="298"/>
      <c r="J23" s="295"/>
      <c r="K23" s="295"/>
      <c r="L23" s="307"/>
      <c r="M23" s="295">
        <f t="shared" si="8"/>
        <v>0</v>
      </c>
      <c r="N23" s="298"/>
      <c r="O23" s="295"/>
      <c r="P23" s="298"/>
      <c r="Q23" s="307"/>
      <c r="R23" s="307"/>
      <c r="S23" s="307"/>
      <c r="T23" s="295">
        <f>N23+O23+P23+Q23</f>
        <v>0</v>
      </c>
      <c r="U23" s="295">
        <f>T23</f>
        <v>0</v>
      </c>
      <c r="V23" s="295">
        <f>U23</f>
        <v>0</v>
      </c>
    </row>
    <row r="24" spans="1:29" ht="18.75" customHeight="1">
      <c r="A24" s="242"/>
      <c r="B24" s="237"/>
      <c r="C24" s="242"/>
      <c r="D24" s="291"/>
      <c r="E24" s="298"/>
      <c r="F24" s="298"/>
      <c r="G24" s="298"/>
      <c r="H24" s="298"/>
      <c r="I24" s="298"/>
      <c r="J24" s="295"/>
      <c r="K24" s="295"/>
      <c r="L24" s="307"/>
      <c r="M24" s="295">
        <f t="shared" si="8"/>
        <v>0</v>
      </c>
      <c r="N24" s="298"/>
      <c r="O24" s="295"/>
      <c r="P24" s="298"/>
      <c r="Q24" s="307"/>
      <c r="R24" s="307"/>
      <c r="S24" s="307"/>
      <c r="T24" s="295">
        <f>O24</f>
        <v>0</v>
      </c>
      <c r="U24" s="295">
        <f>T24</f>
        <v>0</v>
      </c>
      <c r="V24" s="295">
        <f>U24</f>
        <v>0</v>
      </c>
    </row>
    <row r="25" spans="1:29" ht="18.75" customHeight="1">
      <c r="A25" s="294" t="s">
        <v>35</v>
      </c>
      <c r="B25" s="242"/>
      <c r="C25" s="242"/>
      <c r="D25" s="300"/>
      <c r="E25" s="301"/>
      <c r="F25" s="301"/>
      <c r="G25" s="301"/>
      <c r="H25" s="301"/>
      <c r="I25" s="301"/>
      <c r="J25" s="297"/>
      <c r="K25" s="295"/>
      <c r="L25" s="441"/>
      <c r="M25" s="295">
        <f t="shared" si="8"/>
        <v>0</v>
      </c>
      <c r="N25" s="308">
        <f>N26+N34</f>
        <v>9492386.8900000006</v>
      </c>
      <c r="O25" s="308">
        <f>O26</f>
        <v>1153554.6000000001</v>
      </c>
      <c r="P25" s="313">
        <f>P26</f>
        <v>0</v>
      </c>
      <c r="Q25" s="308">
        <f>Q26+Q34</f>
        <v>6942151.6000000015</v>
      </c>
      <c r="R25" s="308">
        <f>R26</f>
        <v>0</v>
      </c>
      <c r="S25" s="308">
        <f>S35</f>
        <v>1196118.3999999999</v>
      </c>
      <c r="T25" s="308">
        <f>T26+T34+T35</f>
        <v>18784211.489999998</v>
      </c>
      <c r="U25" s="308">
        <f t="shared" ref="U25:V25" si="16">U26+U34+U35</f>
        <v>18784211.489999998</v>
      </c>
      <c r="V25" s="308">
        <f t="shared" si="16"/>
        <v>18784211.489999998</v>
      </c>
      <c r="W25" s="221">
        <v>6438122.5499999998</v>
      </c>
      <c r="X25" s="233">
        <f>W25-Q25</f>
        <v>-504029.05000000168</v>
      </c>
      <c r="Y25" s="221">
        <f>X25/108</f>
        <v>-4666.9356481481636</v>
      </c>
      <c r="AA25" s="221">
        <v>6003686.5499999998</v>
      </c>
      <c r="AB25" s="233">
        <f>AA25-Q25</f>
        <v>-938465.05000000168</v>
      </c>
      <c r="AC25" s="221">
        <f>AB25/I34</f>
        <v>-10091.022043010771</v>
      </c>
    </row>
    <row r="26" spans="1:29" ht="84.75" customHeight="1">
      <c r="A26" s="225" t="s">
        <v>246</v>
      </c>
      <c r="B26" s="237" t="s">
        <v>76</v>
      </c>
      <c r="C26" s="237"/>
      <c r="D26" s="291"/>
      <c r="E26" s="298"/>
      <c r="F26" s="298"/>
      <c r="G26" s="298"/>
      <c r="H26" s="298"/>
      <c r="I26" s="298"/>
      <c r="J26" s="295"/>
      <c r="K26" s="295"/>
      <c r="L26" s="307"/>
      <c r="M26" s="295">
        <f t="shared" si="8"/>
        <v>0</v>
      </c>
      <c r="N26" s="295">
        <f>SUM(N27:N35)</f>
        <v>9492386.8900000006</v>
      </c>
      <c r="O26" s="295">
        <f>SUM(O27:O35)</f>
        <v>1153554.6000000001</v>
      </c>
      <c r="P26" s="298"/>
      <c r="Q26" s="307">
        <f>SUM(Q27:Q31)</f>
        <v>4873705.2000000011</v>
      </c>
      <c r="R26" s="307"/>
      <c r="S26" s="307"/>
      <c r="T26" s="295">
        <f>SUM(T27:T33)</f>
        <v>15519646.689999999</v>
      </c>
      <c r="U26" s="295">
        <f>SUM(U27:U33)</f>
        <v>15519646.689999999</v>
      </c>
      <c r="V26" s="295">
        <f>SUM(V27:V33)</f>
        <v>15519646.689999999</v>
      </c>
      <c r="W26" s="233">
        <v>18835786.280000001</v>
      </c>
      <c r="Y26" s="233"/>
      <c r="AA26" s="233"/>
    </row>
    <row r="27" spans="1:29" ht="52.5" customHeight="1">
      <c r="A27" s="225"/>
      <c r="B27" s="242" t="s">
        <v>266</v>
      </c>
      <c r="C27" s="574" t="s">
        <v>269</v>
      </c>
      <c r="D27" s="291" t="s">
        <v>20</v>
      </c>
      <c r="E27" s="298">
        <v>16</v>
      </c>
      <c r="F27" s="298">
        <v>16</v>
      </c>
      <c r="G27" s="298">
        <v>13</v>
      </c>
      <c r="H27" s="298">
        <v>16</v>
      </c>
      <c r="I27" s="298">
        <v>16</v>
      </c>
      <c r="J27" s="295">
        <f>45831</f>
        <v>45831</v>
      </c>
      <c r="K27" s="295">
        <f>(12142.68)</f>
        <v>12142.68</v>
      </c>
      <c r="L27" s="307">
        <v>51302.16</v>
      </c>
      <c r="M27" s="295">
        <f t="shared" si="8"/>
        <v>109275.84</v>
      </c>
      <c r="N27" s="295">
        <f>G27*J27</f>
        <v>595803</v>
      </c>
      <c r="O27" s="295">
        <f>G27*K27</f>
        <v>157854.84</v>
      </c>
      <c r="P27" s="298"/>
      <c r="Q27" s="307">
        <f>G27*L27</f>
        <v>666928.08000000007</v>
      </c>
      <c r="R27" s="307"/>
      <c r="S27" s="307"/>
      <c r="T27" s="295">
        <f>SUM(N27:Q27)</f>
        <v>1420585.92</v>
      </c>
      <c r="U27" s="295">
        <f>T27</f>
        <v>1420585.92</v>
      </c>
      <c r="V27" s="295">
        <f>U27</f>
        <v>1420585.92</v>
      </c>
      <c r="X27" s="233">
        <f>W26-U25</f>
        <v>51574.790000002831</v>
      </c>
    </row>
    <row r="28" spans="1:29" ht="52.5" customHeight="1">
      <c r="A28" s="225"/>
      <c r="B28" s="242" t="s">
        <v>264</v>
      </c>
      <c r="C28" s="576"/>
      <c r="D28" s="291" t="s">
        <v>20</v>
      </c>
      <c r="E28" s="298">
        <v>0</v>
      </c>
      <c r="F28" s="298">
        <v>0</v>
      </c>
      <c r="G28" s="298">
        <f t="shared" ref="G28:G33" si="17">(E28/12*8)+(F28/12*4)</f>
        <v>0</v>
      </c>
      <c r="H28" s="298">
        <v>0</v>
      </c>
      <c r="I28" s="298">
        <v>0</v>
      </c>
      <c r="J28" s="295">
        <f>36323.51</f>
        <v>36323.51</v>
      </c>
      <c r="K28" s="295">
        <f t="shared" ref="K28:K31" si="18">(12142.68)</f>
        <v>12142.68</v>
      </c>
      <c r="L28" s="307">
        <v>51302.16</v>
      </c>
      <c r="M28" s="295">
        <f t="shared" si="8"/>
        <v>99768.35</v>
      </c>
      <c r="N28" s="295">
        <f>G28*J28</f>
        <v>0</v>
      </c>
      <c r="O28" s="295">
        <f>G28*K28</f>
        <v>0</v>
      </c>
      <c r="P28" s="298"/>
      <c r="Q28" s="307">
        <f>G28*L28</f>
        <v>0</v>
      </c>
      <c r="R28" s="307"/>
      <c r="S28" s="307"/>
      <c r="T28" s="295">
        <f>SUM(N28:Q28)</f>
        <v>0</v>
      </c>
      <c r="U28" s="295">
        <v>0</v>
      </c>
      <c r="V28" s="295">
        <f>U28</f>
        <v>0</v>
      </c>
    </row>
    <row r="29" spans="1:29" ht="54.75" customHeight="1">
      <c r="A29" s="225"/>
      <c r="B29" s="242" t="s">
        <v>308</v>
      </c>
      <c r="C29" s="574" t="s">
        <v>270</v>
      </c>
      <c r="D29" s="291" t="s">
        <v>20</v>
      </c>
      <c r="E29" s="298">
        <v>15</v>
      </c>
      <c r="F29" s="298">
        <v>15</v>
      </c>
      <c r="G29" s="298">
        <v>0</v>
      </c>
      <c r="H29" s="298">
        <v>15</v>
      </c>
      <c r="I29" s="298">
        <v>15</v>
      </c>
      <c r="J29" s="295">
        <f>151319.69</f>
        <v>151319.69</v>
      </c>
      <c r="K29" s="295">
        <f t="shared" si="18"/>
        <v>12142.68</v>
      </c>
      <c r="L29" s="307">
        <v>51302.16</v>
      </c>
      <c r="M29" s="295">
        <f t="shared" si="8"/>
        <v>214764.53</v>
      </c>
      <c r="N29" s="295">
        <f>G29*J29</f>
        <v>0</v>
      </c>
      <c r="O29" s="295">
        <f>G29*K29</f>
        <v>0</v>
      </c>
      <c r="P29" s="298"/>
      <c r="Q29" s="307">
        <f>G29*L29</f>
        <v>0</v>
      </c>
      <c r="R29" s="307"/>
      <c r="S29" s="307"/>
      <c r="T29" s="295">
        <f>SUM(N29:Q29)</f>
        <v>0</v>
      </c>
      <c r="U29" s="295">
        <v>0</v>
      </c>
      <c r="V29" s="295">
        <f>U29</f>
        <v>0</v>
      </c>
    </row>
    <row r="30" spans="1:29" ht="50.25" customHeight="1">
      <c r="A30" s="225"/>
      <c r="B30" s="242" t="s">
        <v>285</v>
      </c>
      <c r="C30" s="577"/>
      <c r="D30" s="291" t="s">
        <v>20</v>
      </c>
      <c r="E30" s="298">
        <v>24</v>
      </c>
      <c r="F30" s="298">
        <v>24</v>
      </c>
      <c r="G30" s="298">
        <v>39</v>
      </c>
      <c r="H30" s="298">
        <v>24</v>
      </c>
      <c r="I30" s="298">
        <v>24</v>
      </c>
      <c r="J30" s="295">
        <f>151319.69</f>
        <v>151319.69</v>
      </c>
      <c r="K30" s="295">
        <f t="shared" si="18"/>
        <v>12142.68</v>
      </c>
      <c r="L30" s="307">
        <v>51302.16</v>
      </c>
      <c r="M30" s="295">
        <f t="shared" si="8"/>
        <v>214764.53</v>
      </c>
      <c r="N30" s="295">
        <f>G30*J30</f>
        <v>5901467.9100000001</v>
      </c>
      <c r="O30" s="295">
        <f>G30*K30</f>
        <v>473564.52</v>
      </c>
      <c r="P30" s="298"/>
      <c r="Q30" s="307">
        <f>G30*L30</f>
        <v>2000784.2400000002</v>
      </c>
      <c r="R30" s="307"/>
      <c r="S30" s="307"/>
      <c r="T30" s="295">
        <f>SUM(N30:Q30)</f>
        <v>8375816.6699999999</v>
      </c>
      <c r="U30" s="295">
        <f>T30</f>
        <v>8375816.6699999999</v>
      </c>
      <c r="V30" s="295">
        <f>U30</f>
        <v>8375816.6699999999</v>
      </c>
    </row>
    <row r="31" spans="1:29" ht="105.75" customHeight="1">
      <c r="A31" s="225"/>
      <c r="B31" s="225" t="s">
        <v>272</v>
      </c>
      <c r="C31" s="225" t="s">
        <v>271</v>
      </c>
      <c r="D31" s="291" t="s">
        <v>20</v>
      </c>
      <c r="E31" s="298">
        <v>38</v>
      </c>
      <c r="F31" s="298">
        <v>38</v>
      </c>
      <c r="G31" s="298">
        <v>43</v>
      </c>
      <c r="H31" s="298">
        <v>38</v>
      </c>
      <c r="I31" s="298">
        <v>38</v>
      </c>
      <c r="J31" s="299">
        <f>69653.86</f>
        <v>69653.86</v>
      </c>
      <c r="K31" s="295">
        <f t="shared" si="18"/>
        <v>12142.68</v>
      </c>
      <c r="L31" s="307">
        <v>51302.16</v>
      </c>
      <c r="M31" s="295">
        <f t="shared" si="8"/>
        <v>133098.70000000001</v>
      </c>
      <c r="N31" s="295">
        <f>G31*J31</f>
        <v>2995115.98</v>
      </c>
      <c r="O31" s="295">
        <f>G31*K31</f>
        <v>522135.24</v>
      </c>
      <c r="P31" s="298"/>
      <c r="Q31" s="307">
        <f>G31*L31</f>
        <v>2205992.8800000004</v>
      </c>
      <c r="R31" s="307"/>
      <c r="S31" s="307"/>
      <c r="T31" s="295">
        <f>SUM(N31:Q31)</f>
        <v>5723244.0999999996</v>
      </c>
      <c r="U31" s="295">
        <f>T31</f>
        <v>5723244.0999999996</v>
      </c>
      <c r="V31" s="295">
        <f>U31</f>
        <v>5723244.0999999996</v>
      </c>
    </row>
    <row r="32" spans="1:29" ht="18.75" hidden="1" customHeight="1">
      <c r="A32" s="225"/>
      <c r="B32" s="237"/>
      <c r="C32" s="242" t="s">
        <v>226</v>
      </c>
      <c r="D32" s="291"/>
      <c r="E32" s="298"/>
      <c r="F32" s="298"/>
      <c r="G32" s="298">
        <f t="shared" si="17"/>
        <v>0</v>
      </c>
      <c r="H32" s="298"/>
      <c r="I32" s="298"/>
      <c r="J32" s="295"/>
      <c r="K32" s="295">
        <f t="shared" ref="K32:K64" si="19">(12142.68*2.133649)</f>
        <v>25908.217039320003</v>
      </c>
      <c r="L32" s="307">
        <v>46996.959999999999</v>
      </c>
      <c r="M32" s="295">
        <f t="shared" si="8"/>
        <v>72905.177039319999</v>
      </c>
      <c r="N32" s="298"/>
      <c r="O32" s="295"/>
      <c r="P32" s="298"/>
      <c r="Q32" s="307"/>
      <c r="R32" s="307"/>
      <c r="S32" s="307"/>
      <c r="T32" s="295">
        <f>N32</f>
        <v>0</v>
      </c>
      <c r="U32" s="295">
        <f t="shared" ref="U32:V34" si="20">T32</f>
        <v>0</v>
      </c>
      <c r="V32" s="295">
        <f t="shared" si="20"/>
        <v>0</v>
      </c>
    </row>
    <row r="33" spans="1:29" ht="20.25" hidden="1" customHeight="1">
      <c r="A33" s="225"/>
      <c r="B33" s="237"/>
      <c r="C33" s="242"/>
      <c r="D33" s="291"/>
      <c r="E33" s="298"/>
      <c r="F33" s="298"/>
      <c r="G33" s="298">
        <f t="shared" si="17"/>
        <v>0</v>
      </c>
      <c r="H33" s="298"/>
      <c r="I33" s="298"/>
      <c r="J33" s="295"/>
      <c r="K33" s="295">
        <f t="shared" si="19"/>
        <v>25908.217039320003</v>
      </c>
      <c r="L33" s="307">
        <v>46996.959999999999</v>
      </c>
      <c r="M33" s="295">
        <f t="shared" si="8"/>
        <v>72905.177039319999</v>
      </c>
      <c r="N33" s="298"/>
      <c r="O33" s="295"/>
      <c r="P33" s="298"/>
      <c r="Q33" s="307"/>
      <c r="R33" s="307"/>
      <c r="S33" s="307"/>
      <c r="T33" s="295">
        <f>O33</f>
        <v>0</v>
      </c>
      <c r="U33" s="295">
        <f t="shared" si="20"/>
        <v>0</v>
      </c>
      <c r="V33" s="295">
        <f t="shared" si="20"/>
        <v>0</v>
      </c>
    </row>
    <row r="34" spans="1:29" ht="59.4" customHeight="1">
      <c r="A34" s="225" t="s">
        <v>247</v>
      </c>
      <c r="B34" s="242" t="s">
        <v>302</v>
      </c>
      <c r="C34" s="242" t="s">
        <v>219</v>
      </c>
      <c r="D34" s="291" t="s">
        <v>20</v>
      </c>
      <c r="E34" s="298">
        <f>E27+E28+E29+E30+E31</f>
        <v>93</v>
      </c>
      <c r="F34" s="298">
        <f>F27+F28+F29+F30+F31</f>
        <v>93</v>
      </c>
      <c r="G34" s="298">
        <v>95</v>
      </c>
      <c r="H34" s="298">
        <v>93</v>
      </c>
      <c r="I34" s="298">
        <v>93</v>
      </c>
      <c r="J34" s="295"/>
      <c r="K34" s="295"/>
      <c r="L34" s="307">
        <v>21773.119999999999</v>
      </c>
      <c r="M34" s="295">
        <f t="shared" si="8"/>
        <v>21773.119999999999</v>
      </c>
      <c r="N34" s="298">
        <f>E34*J34</f>
        <v>0</v>
      </c>
      <c r="O34" s="295"/>
      <c r="P34" s="298"/>
      <c r="Q34" s="307">
        <f>G34*L34</f>
        <v>2068446.4</v>
      </c>
      <c r="R34" s="307"/>
      <c r="S34" s="307"/>
      <c r="T34" s="295">
        <f>SUM(N34:Q34)</f>
        <v>2068446.4</v>
      </c>
      <c r="U34" s="295">
        <f t="shared" si="20"/>
        <v>2068446.4</v>
      </c>
      <c r="V34" s="295">
        <f t="shared" si="20"/>
        <v>2068446.4</v>
      </c>
    </row>
    <row r="35" spans="1:29" ht="24" customHeight="1">
      <c r="A35" s="242"/>
      <c r="B35" s="242" t="s">
        <v>302</v>
      </c>
      <c r="C35" s="242" t="s">
        <v>220</v>
      </c>
      <c r="D35" s="291"/>
      <c r="E35" s="298"/>
      <c r="F35" s="298"/>
      <c r="G35" s="298">
        <v>95</v>
      </c>
      <c r="H35" s="298">
        <v>93</v>
      </c>
      <c r="I35" s="298">
        <v>93</v>
      </c>
      <c r="J35" s="295"/>
      <c r="K35" s="295"/>
      <c r="L35" s="307">
        <v>12590.72</v>
      </c>
      <c r="M35" s="295">
        <f t="shared" si="8"/>
        <v>12590.72</v>
      </c>
      <c r="N35" s="298"/>
      <c r="O35" s="295"/>
      <c r="P35" s="298"/>
      <c r="Q35" s="307"/>
      <c r="R35" s="307"/>
      <c r="S35" s="307">
        <f>G35*L35</f>
        <v>1196118.3999999999</v>
      </c>
      <c r="T35" s="295">
        <f>S35</f>
        <v>1196118.3999999999</v>
      </c>
      <c r="U35" s="295">
        <f>S35</f>
        <v>1196118.3999999999</v>
      </c>
      <c r="V35" s="295">
        <f>S35</f>
        <v>1196118.3999999999</v>
      </c>
    </row>
    <row r="36" spans="1:29" ht="26.4" customHeight="1">
      <c r="A36" s="294" t="s">
        <v>40</v>
      </c>
      <c r="B36" s="294"/>
      <c r="C36" s="294"/>
      <c r="D36" s="300"/>
      <c r="E36" s="301"/>
      <c r="F36" s="301"/>
      <c r="G36" s="301"/>
      <c r="H36" s="301"/>
      <c r="I36" s="301"/>
      <c r="J36" s="297"/>
      <c r="K36" s="295"/>
      <c r="L36" s="308"/>
      <c r="M36" s="295">
        <f t="shared" si="8"/>
        <v>0</v>
      </c>
      <c r="N36" s="308">
        <f>N37+N45</f>
        <v>6488928.7999999998</v>
      </c>
      <c r="O36" s="308">
        <f>O37+O45</f>
        <v>1214268</v>
      </c>
      <c r="P36" s="308"/>
      <c r="Q36" s="308">
        <f>Q37+Q45</f>
        <v>7307528</v>
      </c>
      <c r="R36" s="308"/>
      <c r="S36" s="308">
        <f>S46</f>
        <v>1259072</v>
      </c>
      <c r="T36" s="308">
        <f>T37+T45+T46</f>
        <v>16269796.800000001</v>
      </c>
      <c r="U36" s="297">
        <f>U37+U45+U46</f>
        <v>16269796.800000001</v>
      </c>
      <c r="V36" s="297">
        <f>V37+V45+V46</f>
        <v>16269796.800000001</v>
      </c>
      <c r="W36" s="233">
        <v>6077312.0300000003</v>
      </c>
      <c r="X36" s="233">
        <f>W36-Q36</f>
        <v>-1230215.9699999997</v>
      </c>
      <c r="Y36" s="221">
        <f>X36/G45</f>
        <v>-12302.159699999997</v>
      </c>
      <c r="AA36" s="221">
        <v>5754388.0300000003</v>
      </c>
      <c r="AB36" s="233">
        <f>AA36-Q36</f>
        <v>-1553139.9699999997</v>
      </c>
      <c r="AC36" s="221">
        <f>AB36/I45</f>
        <v>-15531.399699999998</v>
      </c>
    </row>
    <row r="37" spans="1:29" ht="78.599999999999994" customHeight="1">
      <c r="A37" s="225" t="s">
        <v>246</v>
      </c>
      <c r="B37" s="237" t="s">
        <v>76</v>
      </c>
      <c r="C37" s="237"/>
      <c r="D37" s="291"/>
      <c r="E37" s="298"/>
      <c r="F37" s="298"/>
      <c r="G37" s="298"/>
      <c r="H37" s="298"/>
      <c r="I37" s="298"/>
      <c r="J37" s="295"/>
      <c r="K37" s="295"/>
      <c r="L37" s="307"/>
      <c r="M37" s="295">
        <f t="shared" si="8"/>
        <v>0</v>
      </c>
      <c r="N37" s="295">
        <f>SUM(N38:N46)</f>
        <v>6488928.7999999998</v>
      </c>
      <c r="O37" s="295">
        <f>SUM(O38:O46)</f>
        <v>1214268</v>
      </c>
      <c r="P37" s="295"/>
      <c r="Q37" s="307">
        <f>SUM(Q38:Q40)</f>
        <v>5130216</v>
      </c>
      <c r="R37" s="307"/>
      <c r="S37" s="307"/>
      <c r="T37" s="295">
        <f>SUM(T38:T44)</f>
        <v>12833412.800000001</v>
      </c>
      <c r="U37" s="295">
        <f>SUM(U38:U44)</f>
        <v>12833412.800000001</v>
      </c>
      <c r="V37" s="295">
        <f>SUM(V38:V44)</f>
        <v>12833412.800000001</v>
      </c>
      <c r="W37" s="233">
        <v>15224915.029999999</v>
      </c>
      <c r="AA37" s="233">
        <f>15224915.03+U46</f>
        <v>16483987.029999999</v>
      </c>
      <c r="AB37" s="233">
        <f>U36-AA37</f>
        <v>-214190.22999999858</v>
      </c>
    </row>
    <row r="38" spans="1:29" ht="57.6" customHeight="1">
      <c r="A38" s="225"/>
      <c r="B38" s="242" t="s">
        <v>266</v>
      </c>
      <c r="C38" s="574" t="s">
        <v>269</v>
      </c>
      <c r="D38" s="291" t="s">
        <v>20</v>
      </c>
      <c r="E38" s="298">
        <v>26</v>
      </c>
      <c r="F38" s="298">
        <v>26</v>
      </c>
      <c r="G38" s="298">
        <v>20</v>
      </c>
      <c r="H38" s="298">
        <v>26</v>
      </c>
      <c r="I38" s="298">
        <v>26</v>
      </c>
      <c r="J38" s="295">
        <f>45831</f>
        <v>45831</v>
      </c>
      <c r="K38" s="295">
        <f>(12142.68)</f>
        <v>12142.68</v>
      </c>
      <c r="L38" s="307">
        <v>51302.16</v>
      </c>
      <c r="M38" s="295">
        <f t="shared" si="8"/>
        <v>109275.84</v>
      </c>
      <c r="N38" s="295">
        <f>G38*J38</f>
        <v>916620</v>
      </c>
      <c r="O38" s="295">
        <f>(G38*K38)</f>
        <v>242853.6</v>
      </c>
      <c r="P38" s="298"/>
      <c r="Q38" s="307">
        <f>G38*L38</f>
        <v>1026043.2000000001</v>
      </c>
      <c r="R38" s="307"/>
      <c r="S38" s="307"/>
      <c r="T38" s="295">
        <f>SUM(N38:Q38)</f>
        <v>2185516.8000000003</v>
      </c>
      <c r="U38" s="295">
        <f t="shared" ref="U38:V40" si="21">T38</f>
        <v>2185516.8000000003</v>
      </c>
      <c r="V38" s="295">
        <f t="shared" si="21"/>
        <v>2185516.8000000003</v>
      </c>
      <c r="X38" s="233">
        <f>W37-U36</f>
        <v>-1044881.7700000014</v>
      </c>
    </row>
    <row r="39" spans="1:29" ht="40.950000000000003" customHeight="1">
      <c r="A39" s="242"/>
      <c r="B39" s="242" t="s">
        <v>264</v>
      </c>
      <c r="C39" s="576"/>
      <c r="D39" s="291" t="s">
        <v>20</v>
      </c>
      <c r="E39" s="298">
        <v>0</v>
      </c>
      <c r="F39" s="298">
        <v>0</v>
      </c>
      <c r="G39" s="298">
        <f t="shared" ref="G39" si="22">(E39/12*8)+(F39/12*4)</f>
        <v>0</v>
      </c>
      <c r="H39" s="298">
        <v>0</v>
      </c>
      <c r="I39" s="298">
        <v>0</v>
      </c>
      <c r="J39" s="295">
        <v>36323.51</v>
      </c>
      <c r="K39" s="295">
        <f>(12142.68)</f>
        <v>12142.68</v>
      </c>
      <c r="L39" s="307">
        <v>51302.16</v>
      </c>
      <c r="M39" s="295">
        <f t="shared" si="8"/>
        <v>99768.35</v>
      </c>
      <c r="N39" s="295">
        <f>G39*J39</f>
        <v>0</v>
      </c>
      <c r="O39" s="295">
        <f>G39*K39</f>
        <v>0</v>
      </c>
      <c r="P39" s="298"/>
      <c r="Q39" s="307">
        <f>G39*L39</f>
        <v>0</v>
      </c>
      <c r="R39" s="307"/>
      <c r="S39" s="307"/>
      <c r="T39" s="295">
        <f>SUM(N39:Q39)</f>
        <v>0</v>
      </c>
      <c r="U39" s="295">
        <f t="shared" si="21"/>
        <v>0</v>
      </c>
      <c r="V39" s="295">
        <f t="shared" si="21"/>
        <v>0</v>
      </c>
    </row>
    <row r="40" spans="1:29" ht="110.4">
      <c r="A40" s="242"/>
      <c r="B40" s="242" t="s">
        <v>264</v>
      </c>
      <c r="C40" s="225" t="s">
        <v>268</v>
      </c>
      <c r="D40" s="291" t="s">
        <v>20</v>
      </c>
      <c r="E40" s="298">
        <v>74</v>
      </c>
      <c r="F40" s="298">
        <v>74</v>
      </c>
      <c r="G40" s="298">
        <v>80</v>
      </c>
      <c r="H40" s="298">
        <v>74</v>
      </c>
      <c r="I40" s="298">
        <v>74</v>
      </c>
      <c r="J40" s="299">
        <v>69653.86</v>
      </c>
      <c r="K40" s="295">
        <f>(12142.68)</f>
        <v>12142.68</v>
      </c>
      <c r="L40" s="307">
        <v>51302.16</v>
      </c>
      <c r="M40" s="295">
        <f t="shared" si="8"/>
        <v>133098.70000000001</v>
      </c>
      <c r="N40" s="295">
        <f>G40*J40</f>
        <v>5572308.7999999998</v>
      </c>
      <c r="O40" s="295">
        <f>G40*K40</f>
        <v>971414.4</v>
      </c>
      <c r="P40" s="298"/>
      <c r="Q40" s="307">
        <f>G40*L40</f>
        <v>4104172.8000000003</v>
      </c>
      <c r="R40" s="307"/>
      <c r="S40" s="307"/>
      <c r="T40" s="295">
        <f>SUM(N40:Q40)</f>
        <v>10647896</v>
      </c>
      <c r="U40" s="295">
        <f t="shared" si="21"/>
        <v>10647896</v>
      </c>
      <c r="V40" s="295">
        <f t="shared" si="21"/>
        <v>10647896</v>
      </c>
    </row>
    <row r="41" spans="1:29" s="222" customFormat="1">
      <c r="A41" s="291"/>
      <c r="B41" s="300" t="s">
        <v>258</v>
      </c>
      <c r="C41" s="291" t="s">
        <v>226</v>
      </c>
      <c r="D41" s="291"/>
      <c r="E41" s="298"/>
      <c r="F41" s="298"/>
      <c r="G41" s="298"/>
      <c r="H41" s="298"/>
      <c r="I41" s="298"/>
      <c r="J41" s="295"/>
      <c r="K41" s="295">
        <f t="shared" si="19"/>
        <v>25908.217039320003</v>
      </c>
      <c r="L41" s="307"/>
      <c r="M41" s="295">
        <f t="shared" si="8"/>
        <v>25908.217039320003</v>
      </c>
      <c r="N41" s="298"/>
      <c r="O41" s="295"/>
      <c r="P41" s="298"/>
      <c r="Q41" s="307"/>
      <c r="R41" s="307"/>
      <c r="S41" s="307"/>
      <c r="T41" s="295">
        <f>O41</f>
        <v>0</v>
      </c>
      <c r="U41" s="295">
        <f t="shared" ref="U41:V45" si="23">T41</f>
        <v>0</v>
      </c>
      <c r="V41" s="295">
        <f>U41</f>
        <v>0</v>
      </c>
    </row>
    <row r="42" spans="1:29" s="222" customFormat="1">
      <c r="A42" s="291"/>
      <c r="B42" s="300" t="s">
        <v>259</v>
      </c>
      <c r="C42" s="291" t="s">
        <v>226</v>
      </c>
      <c r="D42" s="291"/>
      <c r="E42" s="298"/>
      <c r="F42" s="298"/>
      <c r="G42" s="298"/>
      <c r="H42" s="298"/>
      <c r="I42" s="298"/>
      <c r="J42" s="295"/>
      <c r="K42" s="295">
        <f t="shared" si="19"/>
        <v>25908.217039320003</v>
      </c>
      <c r="L42" s="307"/>
      <c r="M42" s="295">
        <f t="shared" si="8"/>
        <v>25908.217039320003</v>
      </c>
      <c r="N42" s="298"/>
      <c r="O42" s="295"/>
      <c r="P42" s="298"/>
      <c r="Q42" s="307"/>
      <c r="R42" s="307"/>
      <c r="S42" s="307"/>
      <c r="T42" s="295">
        <f>N42</f>
        <v>0</v>
      </c>
      <c r="U42" s="295">
        <f t="shared" si="23"/>
        <v>0</v>
      </c>
      <c r="V42" s="295">
        <f t="shared" si="23"/>
        <v>0</v>
      </c>
    </row>
    <row r="43" spans="1:29" ht="45.75" customHeight="1">
      <c r="A43" s="242"/>
      <c r="B43" s="237" t="s">
        <v>253</v>
      </c>
      <c r="C43" s="242" t="s">
        <v>226</v>
      </c>
      <c r="D43" s="291"/>
      <c r="E43" s="298"/>
      <c r="F43" s="298"/>
      <c r="G43" s="298"/>
      <c r="H43" s="298"/>
      <c r="I43" s="298"/>
      <c r="J43" s="295"/>
      <c r="K43" s="295">
        <f t="shared" si="19"/>
        <v>25908.217039320003</v>
      </c>
      <c r="L43" s="307"/>
      <c r="M43" s="295">
        <f t="shared" si="8"/>
        <v>25908.217039320003</v>
      </c>
      <c r="N43" s="298"/>
      <c r="O43" s="295"/>
      <c r="P43" s="298"/>
      <c r="Q43" s="307"/>
      <c r="R43" s="307"/>
      <c r="S43" s="307"/>
      <c r="T43" s="295">
        <f>N43</f>
        <v>0</v>
      </c>
      <c r="U43" s="295">
        <f t="shared" si="23"/>
        <v>0</v>
      </c>
      <c r="V43" s="295">
        <f t="shared" si="23"/>
        <v>0</v>
      </c>
    </row>
    <row r="44" spans="1:29">
      <c r="A44" s="242"/>
      <c r="B44" s="237" t="s">
        <v>256</v>
      </c>
      <c r="C44" s="242"/>
      <c r="D44" s="291"/>
      <c r="E44" s="298"/>
      <c r="F44" s="298"/>
      <c r="G44" s="298"/>
      <c r="H44" s="298"/>
      <c r="I44" s="298"/>
      <c r="J44" s="295"/>
      <c r="K44" s="295">
        <f t="shared" si="19"/>
        <v>25908.217039320003</v>
      </c>
      <c r="L44" s="307"/>
      <c r="M44" s="295">
        <f t="shared" si="8"/>
        <v>25908.217039320003</v>
      </c>
      <c r="N44" s="298"/>
      <c r="O44" s="295"/>
      <c r="P44" s="298"/>
      <c r="Q44" s="307"/>
      <c r="R44" s="307"/>
      <c r="S44" s="307"/>
      <c r="T44" s="295">
        <f>O44</f>
        <v>0</v>
      </c>
      <c r="U44" s="295">
        <f t="shared" si="23"/>
        <v>0</v>
      </c>
      <c r="V44" s="295">
        <f t="shared" si="23"/>
        <v>0</v>
      </c>
    </row>
    <row r="45" spans="1:29" ht="58.2" customHeight="1">
      <c r="A45" s="225" t="s">
        <v>247</v>
      </c>
      <c r="B45" s="242" t="s">
        <v>302</v>
      </c>
      <c r="C45" s="242" t="s">
        <v>219</v>
      </c>
      <c r="D45" s="291" t="s">
        <v>20</v>
      </c>
      <c r="E45" s="298">
        <f>E40+E39+E38</f>
        <v>100</v>
      </c>
      <c r="F45" s="298">
        <f>F40+F39+F38</f>
        <v>100</v>
      </c>
      <c r="G45" s="298">
        <f>G40+G39+G38</f>
        <v>100</v>
      </c>
      <c r="H45" s="298">
        <f>H40+H39+H38</f>
        <v>100</v>
      </c>
      <c r="I45" s="298">
        <f>I40+I39+I38</f>
        <v>100</v>
      </c>
      <c r="J45" s="295"/>
      <c r="K45" s="295"/>
      <c r="L45" s="307">
        <v>21773.119999999999</v>
      </c>
      <c r="M45" s="295">
        <f t="shared" si="8"/>
        <v>21773.119999999999</v>
      </c>
      <c r="N45" s="298">
        <f>G45*J45</f>
        <v>0</v>
      </c>
      <c r="O45" s="295">
        <f>G45*K45</f>
        <v>0</v>
      </c>
      <c r="P45" s="298"/>
      <c r="Q45" s="307">
        <f>G45*L45</f>
        <v>2177312</v>
      </c>
      <c r="R45" s="307"/>
      <c r="S45" s="307"/>
      <c r="T45" s="295">
        <f>SUM(N45:Q45)</f>
        <v>2177312</v>
      </c>
      <c r="U45" s="295">
        <f>T45</f>
        <v>2177312</v>
      </c>
      <c r="V45" s="295">
        <f t="shared" si="23"/>
        <v>2177312</v>
      </c>
    </row>
    <row r="46" spans="1:29">
      <c r="A46" s="242"/>
      <c r="B46" s="242" t="s">
        <v>302</v>
      </c>
      <c r="C46" s="242" t="s">
        <v>220</v>
      </c>
      <c r="D46" s="291"/>
      <c r="E46" s="298"/>
      <c r="F46" s="298"/>
      <c r="G46" s="298">
        <v>100</v>
      </c>
      <c r="H46" s="298">
        <v>100</v>
      </c>
      <c r="I46" s="298">
        <v>100</v>
      </c>
      <c r="J46" s="295"/>
      <c r="K46" s="295"/>
      <c r="L46" s="307">
        <v>12590.72</v>
      </c>
      <c r="M46" s="295">
        <f t="shared" si="8"/>
        <v>12590.72</v>
      </c>
      <c r="N46" s="298"/>
      <c r="O46" s="295"/>
      <c r="P46" s="298"/>
      <c r="Q46" s="307"/>
      <c r="R46" s="307"/>
      <c r="S46" s="307">
        <f>G46*L46</f>
        <v>1259072</v>
      </c>
      <c r="T46" s="295">
        <f>S46</f>
        <v>1259072</v>
      </c>
      <c r="U46" s="295">
        <f>S46</f>
        <v>1259072</v>
      </c>
      <c r="V46" s="295">
        <f>S46</f>
        <v>1259072</v>
      </c>
    </row>
    <row r="47" spans="1:29" ht="21.6" customHeight="1">
      <c r="A47" s="300" t="s">
        <v>44</v>
      </c>
      <c r="B47" s="294"/>
      <c r="C47" s="294"/>
      <c r="D47" s="300"/>
      <c r="E47" s="301"/>
      <c r="F47" s="301"/>
      <c r="G47" s="301"/>
      <c r="H47" s="301"/>
      <c r="I47" s="301"/>
      <c r="J47" s="297"/>
      <c r="K47" s="295"/>
      <c r="L47" s="308"/>
      <c r="M47" s="295">
        <f t="shared" si="8"/>
        <v>0</v>
      </c>
      <c r="N47" s="308">
        <f>N48+N56</f>
        <v>13002851.52</v>
      </c>
      <c r="O47" s="308">
        <f>O48+O56</f>
        <v>1894258.08</v>
      </c>
      <c r="P47" s="308"/>
      <c r="Q47" s="308">
        <f>Q48+Q56</f>
        <v>11399743.68</v>
      </c>
      <c r="R47" s="308"/>
      <c r="S47" s="308">
        <f>S57</f>
        <v>1964152.3199999998</v>
      </c>
      <c r="T47" s="308">
        <f>T48+T56+T57</f>
        <v>28261005.600000001</v>
      </c>
      <c r="U47" s="297">
        <f>U48+U56+U57</f>
        <v>28261005.600000001</v>
      </c>
      <c r="V47" s="297">
        <f>V48+V56+V57</f>
        <v>28261005.600000001</v>
      </c>
      <c r="W47" s="245">
        <v>10231531.529999999</v>
      </c>
      <c r="X47" s="233">
        <f>W47-Q47</f>
        <v>-1168212.1500000004</v>
      </c>
      <c r="Y47" s="221">
        <f>X47/G56</f>
        <v>-7488.5394230769252</v>
      </c>
      <c r="AA47" s="221">
        <v>10354392.529999999</v>
      </c>
      <c r="AB47" s="233">
        <f>AA47-Q47</f>
        <v>-1045351.1500000004</v>
      </c>
      <c r="AC47" s="221">
        <f>AB47/I56</f>
        <v>-6492.8642857142877</v>
      </c>
    </row>
    <row r="48" spans="1:29" ht="78.599999999999994" customHeight="1">
      <c r="A48" s="225" t="s">
        <v>246</v>
      </c>
      <c r="B48" s="237" t="s">
        <v>76</v>
      </c>
      <c r="C48" s="237"/>
      <c r="D48" s="291"/>
      <c r="E48" s="298"/>
      <c r="F48" s="298"/>
      <c r="G48" s="298"/>
      <c r="H48" s="298"/>
      <c r="I48" s="298"/>
      <c r="J48" s="295"/>
      <c r="K48" s="295"/>
      <c r="L48" s="307"/>
      <c r="M48" s="295">
        <f t="shared" si="8"/>
        <v>0</v>
      </c>
      <c r="N48" s="295">
        <f>SUM(N49:N57)</f>
        <v>13002851.52</v>
      </c>
      <c r="O48" s="295">
        <f>SUM(O49:O57)</f>
        <v>1894258.08</v>
      </c>
      <c r="P48" s="298"/>
      <c r="Q48" s="307">
        <f>SUM(Q49:Q52)</f>
        <v>8003136.9600000009</v>
      </c>
      <c r="R48" s="307"/>
      <c r="S48" s="307"/>
      <c r="T48" s="295">
        <f>SUM(T49:T55)</f>
        <v>22900246.560000002</v>
      </c>
      <c r="U48" s="295">
        <f>SUM(U49:U55)</f>
        <v>22900246.560000002</v>
      </c>
      <c r="V48" s="295">
        <f>SUM(V49:V55)</f>
        <v>22900246.560000002</v>
      </c>
      <c r="W48" s="233">
        <v>29143419.530000001</v>
      </c>
      <c r="X48" s="233"/>
      <c r="AA48" s="233">
        <f>29143419.53+U57</f>
        <v>31107571.850000001</v>
      </c>
      <c r="AB48" s="233">
        <f>U47-AA48</f>
        <v>-2846566.25</v>
      </c>
    </row>
    <row r="49" spans="1:28" ht="51.75" customHeight="1">
      <c r="A49" s="225"/>
      <c r="B49" s="242" t="s">
        <v>266</v>
      </c>
      <c r="C49" s="574" t="s">
        <v>273</v>
      </c>
      <c r="D49" s="291" t="s">
        <v>20</v>
      </c>
      <c r="E49" s="298">
        <v>28</v>
      </c>
      <c r="F49" s="298">
        <v>28</v>
      </c>
      <c r="G49" s="298">
        <v>20</v>
      </c>
      <c r="H49" s="298">
        <v>28</v>
      </c>
      <c r="I49" s="298">
        <v>28</v>
      </c>
      <c r="J49" s="295">
        <f>45831</f>
        <v>45831</v>
      </c>
      <c r="K49" s="295">
        <f>(12142.68)</f>
        <v>12142.68</v>
      </c>
      <c r="L49" s="307">
        <v>51302.16</v>
      </c>
      <c r="M49" s="295">
        <f t="shared" si="8"/>
        <v>109275.84</v>
      </c>
      <c r="N49" s="295">
        <f>G49*J49</f>
        <v>916620</v>
      </c>
      <c r="O49" s="295">
        <f>G49*K49</f>
        <v>242853.6</v>
      </c>
      <c r="P49" s="298"/>
      <c r="Q49" s="307">
        <f>G49*L49</f>
        <v>1026043.2000000001</v>
      </c>
      <c r="R49" s="307"/>
      <c r="S49" s="307"/>
      <c r="T49" s="295">
        <f>SUM(N49:Q49)</f>
        <v>2185516.8000000003</v>
      </c>
      <c r="U49" s="295">
        <f t="shared" ref="U49:V53" si="24">T49</f>
        <v>2185516.8000000003</v>
      </c>
      <c r="V49" s="295">
        <f t="shared" si="24"/>
        <v>2185516.8000000003</v>
      </c>
      <c r="X49" s="233">
        <f>W48-U47</f>
        <v>882413.9299999997</v>
      </c>
    </row>
    <row r="50" spans="1:28" ht="51" customHeight="1">
      <c r="A50" s="242"/>
      <c r="B50" s="242" t="s">
        <v>264</v>
      </c>
      <c r="C50" s="576"/>
      <c r="D50" s="291" t="s">
        <v>20</v>
      </c>
      <c r="E50" s="298">
        <v>0</v>
      </c>
      <c r="F50" s="298">
        <v>0</v>
      </c>
      <c r="G50" s="298">
        <f t="shared" ref="G50" si="25">(E50/12*8)+(F50/12*4)</f>
        <v>0</v>
      </c>
      <c r="H50" s="298">
        <v>0</v>
      </c>
      <c r="I50" s="298">
        <v>0</v>
      </c>
      <c r="J50" s="295">
        <v>36323.51</v>
      </c>
      <c r="K50" s="295">
        <f t="shared" ref="K50:K52" si="26">(12142.68)</f>
        <v>12142.68</v>
      </c>
      <c r="L50" s="307">
        <v>51302.16</v>
      </c>
      <c r="M50" s="295">
        <f t="shared" si="8"/>
        <v>99768.35</v>
      </c>
      <c r="N50" s="295">
        <f>G50*J50</f>
        <v>0</v>
      </c>
      <c r="O50" s="295">
        <f>G50*K50</f>
        <v>0</v>
      </c>
      <c r="P50" s="298"/>
      <c r="Q50" s="307">
        <f t="shared" ref="Q50:Q52" si="27">G50*L50</f>
        <v>0</v>
      </c>
      <c r="R50" s="307"/>
      <c r="S50" s="307"/>
      <c r="T50" s="295">
        <f>SUM(N50:Q50)</f>
        <v>0</v>
      </c>
      <c r="U50" s="295">
        <f t="shared" si="24"/>
        <v>0</v>
      </c>
      <c r="V50" s="295">
        <f t="shared" si="24"/>
        <v>0</v>
      </c>
    </row>
    <row r="51" spans="1:28" ht="96.6">
      <c r="A51" s="225"/>
      <c r="B51" s="242" t="s">
        <v>285</v>
      </c>
      <c r="C51" s="225" t="s">
        <v>274</v>
      </c>
      <c r="D51" s="291" t="s">
        <v>20</v>
      </c>
      <c r="E51" s="298">
        <v>35</v>
      </c>
      <c r="F51" s="298">
        <v>35</v>
      </c>
      <c r="G51" s="298">
        <v>32</v>
      </c>
      <c r="H51" s="298">
        <v>35</v>
      </c>
      <c r="I51" s="298">
        <v>35</v>
      </c>
      <c r="J51" s="295">
        <v>151319.69</v>
      </c>
      <c r="K51" s="295">
        <f t="shared" si="26"/>
        <v>12142.68</v>
      </c>
      <c r="L51" s="307">
        <v>51302.16</v>
      </c>
      <c r="M51" s="295">
        <f t="shared" si="8"/>
        <v>214764.53</v>
      </c>
      <c r="N51" s="295">
        <f>G51*J51</f>
        <v>4842230.08</v>
      </c>
      <c r="O51" s="295">
        <f>G51*K51</f>
        <v>388565.76000000001</v>
      </c>
      <c r="P51" s="298"/>
      <c r="Q51" s="307">
        <f t="shared" si="27"/>
        <v>1641669.12</v>
      </c>
      <c r="R51" s="307"/>
      <c r="S51" s="307"/>
      <c r="T51" s="295">
        <f>SUM(N51:Q51)</f>
        <v>6872464.96</v>
      </c>
      <c r="U51" s="295">
        <f t="shared" si="24"/>
        <v>6872464.96</v>
      </c>
      <c r="V51" s="295">
        <f t="shared" si="24"/>
        <v>6872464.96</v>
      </c>
    </row>
    <row r="52" spans="1:28" ht="110.4">
      <c r="A52" s="225"/>
      <c r="B52" s="242" t="s">
        <v>262</v>
      </c>
      <c r="C52" s="225" t="s">
        <v>275</v>
      </c>
      <c r="D52" s="291" t="s">
        <v>20</v>
      </c>
      <c r="E52" s="298">
        <v>98</v>
      </c>
      <c r="F52" s="298">
        <v>98</v>
      </c>
      <c r="G52" s="298">
        <v>104</v>
      </c>
      <c r="H52" s="298">
        <v>98</v>
      </c>
      <c r="I52" s="298">
        <v>98</v>
      </c>
      <c r="J52" s="299">
        <v>69653.86</v>
      </c>
      <c r="K52" s="295">
        <f t="shared" si="26"/>
        <v>12142.68</v>
      </c>
      <c r="L52" s="307">
        <v>51302.16</v>
      </c>
      <c r="M52" s="295">
        <f t="shared" si="8"/>
        <v>133098.70000000001</v>
      </c>
      <c r="N52" s="295">
        <f>G52*J52</f>
        <v>7244001.4400000004</v>
      </c>
      <c r="O52" s="295">
        <f>G52*K52</f>
        <v>1262838.72</v>
      </c>
      <c r="P52" s="298"/>
      <c r="Q52" s="307">
        <f t="shared" si="27"/>
        <v>5335424.6400000006</v>
      </c>
      <c r="R52" s="307"/>
      <c r="S52" s="307"/>
      <c r="T52" s="295">
        <f>SUM(N52:Q52)</f>
        <v>13842264.800000001</v>
      </c>
      <c r="U52" s="295">
        <f t="shared" si="24"/>
        <v>13842264.800000001</v>
      </c>
      <c r="V52" s="295">
        <f t="shared" si="24"/>
        <v>13842264.800000001</v>
      </c>
    </row>
    <row r="53" spans="1:28" s="222" customFormat="1" hidden="1">
      <c r="A53" s="291"/>
      <c r="B53" s="300"/>
      <c r="C53" s="291" t="s">
        <v>226</v>
      </c>
      <c r="D53" s="291"/>
      <c r="E53" s="298"/>
      <c r="F53" s="298"/>
      <c r="G53" s="298"/>
      <c r="H53" s="298"/>
      <c r="I53" s="298"/>
      <c r="J53" s="295"/>
      <c r="K53" s="295">
        <f t="shared" si="19"/>
        <v>25908.217039320003</v>
      </c>
      <c r="L53" s="307"/>
      <c r="M53" s="295">
        <f t="shared" si="8"/>
        <v>25908.217039320003</v>
      </c>
      <c r="N53" s="298"/>
      <c r="O53" s="295"/>
      <c r="P53" s="298"/>
      <c r="Q53" s="307"/>
      <c r="R53" s="307"/>
      <c r="S53" s="307"/>
      <c r="T53" s="295">
        <f>O53</f>
        <v>0</v>
      </c>
      <c r="U53" s="295">
        <f t="shared" si="24"/>
        <v>0</v>
      </c>
      <c r="V53" s="295">
        <f t="shared" si="24"/>
        <v>0</v>
      </c>
    </row>
    <row r="54" spans="1:28" ht="20.25" hidden="1" customHeight="1">
      <c r="A54" s="225"/>
      <c r="B54" s="237"/>
      <c r="C54" s="242" t="s">
        <v>226</v>
      </c>
      <c r="D54" s="291"/>
      <c r="E54" s="298"/>
      <c r="F54" s="298"/>
      <c r="G54" s="298"/>
      <c r="H54" s="298"/>
      <c r="I54" s="298"/>
      <c r="J54" s="295"/>
      <c r="K54" s="295">
        <f t="shared" si="19"/>
        <v>25908.217039320003</v>
      </c>
      <c r="L54" s="307"/>
      <c r="M54" s="295">
        <f t="shared" si="8"/>
        <v>25908.217039320003</v>
      </c>
      <c r="N54" s="298"/>
      <c r="O54" s="295"/>
      <c r="P54" s="298"/>
      <c r="Q54" s="307"/>
      <c r="R54" s="307"/>
      <c r="S54" s="307"/>
      <c r="T54" s="295">
        <f>N54</f>
        <v>0</v>
      </c>
      <c r="U54" s="295">
        <f t="shared" ref="U54:V56" si="28">T54</f>
        <v>0</v>
      </c>
      <c r="V54" s="295">
        <f t="shared" si="28"/>
        <v>0</v>
      </c>
    </row>
    <row r="55" spans="1:28" hidden="1">
      <c r="A55" s="225"/>
      <c r="B55" s="237"/>
      <c r="C55" s="242"/>
      <c r="D55" s="291"/>
      <c r="E55" s="298"/>
      <c r="F55" s="298"/>
      <c r="G55" s="298"/>
      <c r="H55" s="298"/>
      <c r="I55" s="298"/>
      <c r="J55" s="295"/>
      <c r="K55" s="295">
        <f t="shared" si="19"/>
        <v>25908.217039320003</v>
      </c>
      <c r="L55" s="307"/>
      <c r="M55" s="295">
        <f t="shared" si="8"/>
        <v>25908.217039320003</v>
      </c>
      <c r="N55" s="298"/>
      <c r="O55" s="295"/>
      <c r="P55" s="298"/>
      <c r="Q55" s="307"/>
      <c r="R55" s="307"/>
      <c r="S55" s="307"/>
      <c r="T55" s="295">
        <f>O55</f>
        <v>0</v>
      </c>
      <c r="U55" s="295">
        <f t="shared" si="28"/>
        <v>0</v>
      </c>
      <c r="V55" s="295">
        <f t="shared" si="28"/>
        <v>0</v>
      </c>
    </row>
    <row r="56" spans="1:28" ht="58.5" customHeight="1">
      <c r="A56" s="225" t="s">
        <v>247</v>
      </c>
      <c r="B56" s="242" t="s">
        <v>28</v>
      </c>
      <c r="C56" s="242" t="s">
        <v>219</v>
      </c>
      <c r="D56" s="291" t="s">
        <v>20</v>
      </c>
      <c r="E56" s="298">
        <f>E52+E51+E50+E49</f>
        <v>161</v>
      </c>
      <c r="F56" s="298">
        <f>F52+F51+F50+F49</f>
        <v>161</v>
      </c>
      <c r="G56" s="298">
        <f>G52+G51+G50+G49</f>
        <v>156</v>
      </c>
      <c r="H56" s="298">
        <v>161</v>
      </c>
      <c r="I56" s="298">
        <v>161</v>
      </c>
      <c r="J56" s="295"/>
      <c r="K56" s="295"/>
      <c r="L56" s="307">
        <v>21773.119999999999</v>
      </c>
      <c r="M56" s="295">
        <f t="shared" si="8"/>
        <v>21773.119999999999</v>
      </c>
      <c r="N56" s="298">
        <f>G56*J56</f>
        <v>0</v>
      </c>
      <c r="O56" s="295">
        <f>G56*K56</f>
        <v>0</v>
      </c>
      <c r="P56" s="298"/>
      <c r="Q56" s="307">
        <f>G56*L56</f>
        <v>3396606.7199999997</v>
      </c>
      <c r="R56" s="307"/>
      <c r="S56" s="307"/>
      <c r="T56" s="295">
        <f>SUM(N56:Q56)</f>
        <v>3396606.7199999997</v>
      </c>
      <c r="U56" s="295">
        <f t="shared" si="28"/>
        <v>3396606.7199999997</v>
      </c>
      <c r="V56" s="295">
        <f t="shared" si="28"/>
        <v>3396606.7199999997</v>
      </c>
    </row>
    <row r="57" spans="1:28" ht="18.600000000000001" customHeight="1">
      <c r="A57" s="242"/>
      <c r="B57" s="242" t="s">
        <v>28</v>
      </c>
      <c r="C57" s="242" t="s">
        <v>220</v>
      </c>
      <c r="D57" s="291"/>
      <c r="E57" s="298"/>
      <c r="F57" s="298"/>
      <c r="G57" s="298">
        <v>156</v>
      </c>
      <c r="H57" s="298">
        <v>161</v>
      </c>
      <c r="I57" s="298">
        <v>161</v>
      </c>
      <c r="J57" s="295"/>
      <c r="K57" s="295"/>
      <c r="L57" s="307">
        <v>12590.72</v>
      </c>
      <c r="M57" s="295">
        <f t="shared" si="8"/>
        <v>12590.72</v>
      </c>
      <c r="N57" s="298"/>
      <c r="O57" s="295"/>
      <c r="P57" s="298"/>
      <c r="Q57" s="307"/>
      <c r="R57" s="307"/>
      <c r="S57" s="307">
        <f>G57*L57</f>
        <v>1964152.3199999998</v>
      </c>
      <c r="T57" s="295">
        <f>S57</f>
        <v>1964152.3199999998</v>
      </c>
      <c r="U57" s="295">
        <f>S57</f>
        <v>1964152.3199999998</v>
      </c>
      <c r="V57" s="295">
        <f>S57</f>
        <v>1964152.3199999998</v>
      </c>
    </row>
    <row r="58" spans="1:28" ht="24" customHeight="1">
      <c r="A58" s="294" t="s">
        <v>49</v>
      </c>
      <c r="B58" s="294"/>
      <c r="C58" s="294"/>
      <c r="D58" s="300"/>
      <c r="E58" s="301"/>
      <c r="F58" s="301"/>
      <c r="G58" s="301"/>
      <c r="H58" s="301"/>
      <c r="I58" s="301"/>
      <c r="J58" s="297"/>
      <c r="K58" s="295"/>
      <c r="L58" s="308"/>
      <c r="M58" s="295">
        <f t="shared" si="8"/>
        <v>0</v>
      </c>
      <c r="N58" s="308">
        <f>N59+N65</f>
        <v>6958127.1200000001</v>
      </c>
      <c r="O58" s="308">
        <f>O59+O65</f>
        <v>1262838.72</v>
      </c>
      <c r="P58" s="313">
        <f>P59</f>
        <v>0</v>
      </c>
      <c r="Q58" s="308">
        <f>Q59+Q65</f>
        <v>7599829.120000001</v>
      </c>
      <c r="R58" s="308">
        <f>R59</f>
        <v>0</v>
      </c>
      <c r="S58" s="308">
        <f>S66</f>
        <v>1309434.8799999999</v>
      </c>
      <c r="T58" s="308">
        <f>T59+T65+T66</f>
        <v>17130229.84</v>
      </c>
      <c r="U58" s="308">
        <f t="shared" ref="U58:V58" si="29">U59+U65+U66</f>
        <v>17130229.84</v>
      </c>
      <c r="V58" s="308">
        <f t="shared" si="29"/>
        <v>17130229.84</v>
      </c>
      <c r="W58" s="221">
        <v>5581141.5300000003</v>
      </c>
      <c r="X58" s="233">
        <f>W58-Q58</f>
        <v>-2018687.5900000008</v>
      </c>
      <c r="Y58" s="221">
        <f>X58/G65</f>
        <v>-19410.457596153854</v>
      </c>
      <c r="AA58" s="221">
        <v>5552393.5300000003</v>
      </c>
      <c r="AB58" s="233">
        <f>AA58-Q58</f>
        <v>-2047435.5900000008</v>
      </c>
    </row>
    <row r="59" spans="1:28" ht="81" customHeight="1">
      <c r="A59" s="225" t="s">
        <v>246</v>
      </c>
      <c r="B59" s="237" t="s">
        <v>76</v>
      </c>
      <c r="C59" s="237"/>
      <c r="D59" s="291"/>
      <c r="E59" s="298"/>
      <c r="F59" s="298"/>
      <c r="G59" s="298"/>
      <c r="H59" s="298"/>
      <c r="I59" s="298"/>
      <c r="J59" s="295"/>
      <c r="K59" s="295"/>
      <c r="L59" s="307"/>
      <c r="M59" s="295">
        <f t="shared" si="8"/>
        <v>0</v>
      </c>
      <c r="N59" s="295">
        <f>SUM(N60:N66)</f>
        <v>6958127.1200000001</v>
      </c>
      <c r="O59" s="295">
        <f>SUM(O60:O66)</f>
        <v>1262838.72</v>
      </c>
      <c r="P59" s="302"/>
      <c r="Q59" s="307">
        <f>SUM(Q60:Q62)</f>
        <v>5335424.6400000006</v>
      </c>
      <c r="R59" s="307"/>
      <c r="S59" s="307"/>
      <c r="T59" s="295">
        <f>SUM(T60:T64)</f>
        <v>13556390.48</v>
      </c>
      <c r="U59" s="295">
        <f>SUM(U60:U64)</f>
        <v>13556390.48</v>
      </c>
      <c r="V59" s="295">
        <f>SUM(V60:V64)</f>
        <v>13556390.48</v>
      </c>
      <c r="W59" s="233">
        <v>14544322.529999999</v>
      </c>
      <c r="AA59" s="233">
        <f>14544322.53+U66</f>
        <v>15853757.41</v>
      </c>
      <c r="AB59" s="233">
        <f>U58-AA59</f>
        <v>1276472.4299999997</v>
      </c>
    </row>
    <row r="60" spans="1:28" ht="51" customHeight="1">
      <c r="A60" s="225"/>
      <c r="B60" s="242" t="s">
        <v>276</v>
      </c>
      <c r="C60" s="574" t="s">
        <v>273</v>
      </c>
      <c r="D60" s="291" t="s">
        <v>20</v>
      </c>
      <c r="E60" s="298">
        <v>22</v>
      </c>
      <c r="F60" s="298">
        <v>22</v>
      </c>
      <c r="G60" s="298">
        <v>12</v>
      </c>
      <c r="H60" s="298">
        <v>22</v>
      </c>
      <c r="I60" s="298">
        <v>22</v>
      </c>
      <c r="J60" s="295">
        <f>45831</f>
        <v>45831</v>
      </c>
      <c r="K60" s="295">
        <f>(12142.68)</f>
        <v>12142.68</v>
      </c>
      <c r="L60" s="307">
        <v>51302.16</v>
      </c>
      <c r="M60" s="295">
        <f t="shared" si="8"/>
        <v>109275.84</v>
      </c>
      <c r="N60" s="295">
        <f>G60*J60</f>
        <v>549972</v>
      </c>
      <c r="O60" s="295">
        <f>G60*K60</f>
        <v>145712.16</v>
      </c>
      <c r="P60" s="298"/>
      <c r="Q60" s="307">
        <f>G60*L60</f>
        <v>615625.92000000004</v>
      </c>
      <c r="R60" s="307"/>
      <c r="S60" s="307"/>
      <c r="T60" s="295">
        <f>SUM(N60:Q60)</f>
        <v>1311310.08</v>
      </c>
      <c r="U60" s="295">
        <f t="shared" ref="U60:V62" si="30">T60</f>
        <v>1311310.08</v>
      </c>
      <c r="V60" s="295">
        <f t="shared" si="30"/>
        <v>1311310.08</v>
      </c>
      <c r="X60" s="233">
        <f>W59-U58</f>
        <v>-2585907.3100000005</v>
      </c>
    </row>
    <row r="61" spans="1:28" ht="50.4" customHeight="1">
      <c r="A61" s="242"/>
      <c r="B61" s="242" t="s">
        <v>262</v>
      </c>
      <c r="C61" s="576"/>
      <c r="D61" s="291" t="s">
        <v>20</v>
      </c>
      <c r="E61" s="298">
        <v>0</v>
      </c>
      <c r="F61" s="298">
        <v>0</v>
      </c>
      <c r="G61" s="298">
        <f t="shared" ref="G61" si="31">(E61/12*8)+(F61/12*4)</f>
        <v>0</v>
      </c>
      <c r="H61" s="298">
        <v>0</v>
      </c>
      <c r="I61" s="298">
        <v>0</v>
      </c>
      <c r="J61" s="295">
        <f>36323.51</f>
        <v>36323.51</v>
      </c>
      <c r="K61" s="295">
        <f t="shared" ref="K61:K62" si="32">(12142.68)</f>
        <v>12142.68</v>
      </c>
      <c r="L61" s="307">
        <v>51302.16</v>
      </c>
      <c r="M61" s="295">
        <f t="shared" si="8"/>
        <v>99768.35</v>
      </c>
      <c r="N61" s="295">
        <f>G61*J61</f>
        <v>0</v>
      </c>
      <c r="O61" s="295">
        <f>G61*K61</f>
        <v>0</v>
      </c>
      <c r="P61" s="298"/>
      <c r="Q61" s="307">
        <f>G61*L61</f>
        <v>0</v>
      </c>
      <c r="R61" s="307"/>
      <c r="S61" s="307"/>
      <c r="T61" s="295">
        <f>SUM(N61:Q61)</f>
        <v>0</v>
      </c>
      <c r="U61" s="295">
        <f t="shared" si="30"/>
        <v>0</v>
      </c>
      <c r="V61" s="295">
        <f t="shared" si="30"/>
        <v>0</v>
      </c>
    </row>
    <row r="62" spans="1:28" ht="118.5" customHeight="1">
      <c r="A62" s="242"/>
      <c r="B62" s="242" t="s">
        <v>264</v>
      </c>
      <c r="C62" s="225" t="s">
        <v>275</v>
      </c>
      <c r="D62" s="291" t="s">
        <v>20</v>
      </c>
      <c r="E62" s="298">
        <v>80</v>
      </c>
      <c r="F62" s="298">
        <v>80</v>
      </c>
      <c r="G62" s="298">
        <v>92</v>
      </c>
      <c r="H62" s="298">
        <v>80</v>
      </c>
      <c r="I62" s="298">
        <v>80</v>
      </c>
      <c r="J62" s="299">
        <f>69653.86</f>
        <v>69653.86</v>
      </c>
      <c r="K62" s="295">
        <f t="shared" si="32"/>
        <v>12142.68</v>
      </c>
      <c r="L62" s="307">
        <v>51302.16</v>
      </c>
      <c r="M62" s="295">
        <f t="shared" si="8"/>
        <v>133098.70000000001</v>
      </c>
      <c r="N62" s="295">
        <f>G62*J62</f>
        <v>6408155.1200000001</v>
      </c>
      <c r="O62" s="295">
        <f>G62*K62</f>
        <v>1117126.56</v>
      </c>
      <c r="P62" s="298"/>
      <c r="Q62" s="307">
        <f>G62*L62</f>
        <v>4719798.7200000007</v>
      </c>
      <c r="R62" s="307"/>
      <c r="S62" s="307"/>
      <c r="T62" s="295">
        <f>SUM(N62:Q62)</f>
        <v>12245080.4</v>
      </c>
      <c r="U62" s="295">
        <f t="shared" si="30"/>
        <v>12245080.4</v>
      </c>
      <c r="V62" s="295">
        <f t="shared" si="30"/>
        <v>12245080.4</v>
      </c>
    </row>
    <row r="63" spans="1:28" ht="43.5" hidden="1" customHeight="1">
      <c r="A63" s="242"/>
      <c r="B63" s="237" t="s">
        <v>253</v>
      </c>
      <c r="C63" s="242" t="s">
        <v>226</v>
      </c>
      <c r="D63" s="291"/>
      <c r="E63" s="298"/>
      <c r="F63" s="298"/>
      <c r="G63" s="298"/>
      <c r="H63" s="298"/>
      <c r="I63" s="298"/>
      <c r="J63" s="295"/>
      <c r="K63" s="295">
        <f t="shared" si="19"/>
        <v>25908.217039320003</v>
      </c>
      <c r="L63" s="307">
        <v>0</v>
      </c>
      <c r="M63" s="295">
        <v>0</v>
      </c>
      <c r="N63" s="298"/>
      <c r="O63" s="295"/>
      <c r="P63" s="298"/>
      <c r="Q63" s="307"/>
      <c r="R63" s="307"/>
      <c r="S63" s="307"/>
      <c r="T63" s="295">
        <f>N63</f>
        <v>0</v>
      </c>
      <c r="U63" s="295">
        <f t="shared" ref="U63:V65" si="33">T63</f>
        <v>0</v>
      </c>
      <c r="V63" s="295">
        <f t="shared" si="33"/>
        <v>0</v>
      </c>
    </row>
    <row r="64" spans="1:28" hidden="1">
      <c r="A64" s="242"/>
      <c r="B64" s="237" t="s">
        <v>256</v>
      </c>
      <c r="C64" s="242"/>
      <c r="D64" s="291"/>
      <c r="E64" s="298"/>
      <c r="F64" s="298"/>
      <c r="G64" s="298"/>
      <c r="H64" s="298"/>
      <c r="I64" s="298"/>
      <c r="J64" s="295"/>
      <c r="K64" s="295">
        <f t="shared" si="19"/>
        <v>25908.217039320003</v>
      </c>
      <c r="L64" s="307">
        <v>0</v>
      </c>
      <c r="M64" s="295">
        <v>0</v>
      </c>
      <c r="N64" s="298"/>
      <c r="O64" s="295"/>
      <c r="P64" s="298"/>
      <c r="Q64" s="307"/>
      <c r="R64" s="307"/>
      <c r="S64" s="307"/>
      <c r="T64" s="295">
        <f>O64</f>
        <v>0</v>
      </c>
      <c r="U64" s="295">
        <f t="shared" si="33"/>
        <v>0</v>
      </c>
      <c r="V64" s="295">
        <f t="shared" si="33"/>
        <v>0</v>
      </c>
    </row>
    <row r="65" spans="1:29" ht="61.5" customHeight="1">
      <c r="A65" s="225" t="s">
        <v>247</v>
      </c>
      <c r="B65" s="242" t="s">
        <v>28</v>
      </c>
      <c r="C65" s="242" t="s">
        <v>219</v>
      </c>
      <c r="D65" s="291" t="s">
        <v>20</v>
      </c>
      <c r="E65" s="298">
        <f>E60+E61+E62</f>
        <v>102</v>
      </c>
      <c r="F65" s="298">
        <f>F60+F61+F62</f>
        <v>102</v>
      </c>
      <c r="G65" s="298">
        <f>G60+G61+G62</f>
        <v>104</v>
      </c>
      <c r="H65" s="298">
        <v>102</v>
      </c>
      <c r="I65" s="298">
        <v>102</v>
      </c>
      <c r="J65" s="295"/>
      <c r="K65" s="295"/>
      <c r="L65" s="307">
        <v>21773.119999999999</v>
      </c>
      <c r="M65" s="295">
        <f t="shared" si="8"/>
        <v>21773.119999999999</v>
      </c>
      <c r="N65" s="295">
        <v>0</v>
      </c>
      <c r="O65" s="295"/>
      <c r="P65" s="298"/>
      <c r="Q65" s="307">
        <f>G65*L65</f>
        <v>2264404.48</v>
      </c>
      <c r="R65" s="307"/>
      <c r="S65" s="307"/>
      <c r="T65" s="295">
        <f>SUM(N65:Q65)</f>
        <v>2264404.48</v>
      </c>
      <c r="U65" s="295">
        <f>T65</f>
        <v>2264404.48</v>
      </c>
      <c r="V65" s="295">
        <f t="shared" si="33"/>
        <v>2264404.48</v>
      </c>
    </row>
    <row r="66" spans="1:29" ht="16.5" customHeight="1">
      <c r="A66" s="242"/>
      <c r="B66" s="242" t="s">
        <v>28</v>
      </c>
      <c r="C66" s="242" t="s">
        <v>220</v>
      </c>
      <c r="D66" s="291"/>
      <c r="E66" s="298"/>
      <c r="F66" s="298"/>
      <c r="G66" s="298">
        <v>104</v>
      </c>
      <c r="H66" s="298">
        <v>102</v>
      </c>
      <c r="I66" s="298">
        <v>102</v>
      </c>
      <c r="J66" s="295"/>
      <c r="K66" s="295"/>
      <c r="L66" s="307">
        <v>12590.72</v>
      </c>
      <c r="M66" s="295">
        <f t="shared" si="8"/>
        <v>12590.72</v>
      </c>
      <c r="N66" s="298"/>
      <c r="O66" s="295"/>
      <c r="P66" s="298"/>
      <c r="Q66" s="307"/>
      <c r="R66" s="307"/>
      <c r="S66" s="307">
        <f>G66*L66</f>
        <v>1309434.8799999999</v>
      </c>
      <c r="T66" s="295">
        <f>S66</f>
        <v>1309434.8799999999</v>
      </c>
      <c r="U66" s="295">
        <f>S66</f>
        <v>1309434.8799999999</v>
      </c>
      <c r="V66" s="295">
        <f>S66</f>
        <v>1309434.8799999999</v>
      </c>
    </row>
    <row r="67" spans="1:29" ht="22.2" customHeight="1">
      <c r="A67" s="294" t="s">
        <v>53</v>
      </c>
      <c r="B67" s="294"/>
      <c r="C67" s="294"/>
      <c r="D67" s="300"/>
      <c r="E67" s="301"/>
      <c r="F67" s="301"/>
      <c r="G67" s="301"/>
      <c r="H67" s="301"/>
      <c r="I67" s="301"/>
      <c r="J67" s="297"/>
      <c r="K67" s="295"/>
      <c r="L67" s="308"/>
      <c r="M67" s="295">
        <f t="shared" si="8"/>
        <v>0</v>
      </c>
      <c r="N67" s="308">
        <f>N68+N77</f>
        <v>8921041.6500000004</v>
      </c>
      <c r="O67" s="308">
        <f>O68+O77</f>
        <v>1639261.8000000003</v>
      </c>
      <c r="P67" s="308"/>
      <c r="Q67" s="308">
        <f>Q68+Q77</f>
        <v>9865162.8000000007</v>
      </c>
      <c r="R67" s="308"/>
      <c r="S67" s="308">
        <f>S78</f>
        <v>1699747.2</v>
      </c>
      <c r="T67" s="308">
        <f>T68+T77+T78</f>
        <v>22125213.449999999</v>
      </c>
      <c r="U67" s="297">
        <f>U68+U77+U78</f>
        <v>22125213.449999999</v>
      </c>
      <c r="V67" s="297">
        <f>V68+V77+V78</f>
        <v>22125213.449999999</v>
      </c>
      <c r="W67" s="221">
        <v>10602392.789999999</v>
      </c>
      <c r="X67" s="233">
        <f>W67-Q67</f>
        <v>737229.98999999836</v>
      </c>
      <c r="Y67" s="236">
        <f>X67/G77</f>
        <v>5460.9628888888765</v>
      </c>
      <c r="AA67" s="221">
        <v>11530755.789999999</v>
      </c>
      <c r="AB67" s="233">
        <f>AA67-Q67</f>
        <v>1665592.9899999984</v>
      </c>
      <c r="AC67" s="221">
        <f>AB67/I77</f>
        <v>12429.798432835809</v>
      </c>
    </row>
    <row r="68" spans="1:29" ht="76.2" customHeight="1">
      <c r="A68" s="225" t="s">
        <v>246</v>
      </c>
      <c r="B68" s="237" t="s">
        <v>76</v>
      </c>
      <c r="C68" s="237"/>
      <c r="D68" s="291"/>
      <c r="E68" s="298"/>
      <c r="F68" s="298"/>
      <c r="G68" s="298"/>
      <c r="H68" s="298"/>
      <c r="I68" s="298"/>
      <c r="J68" s="295"/>
      <c r="K68" s="295"/>
      <c r="L68" s="307"/>
      <c r="M68" s="295">
        <f t="shared" si="8"/>
        <v>0</v>
      </c>
      <c r="N68" s="295">
        <f>SUM(N69:N78)</f>
        <v>8921041.6500000004</v>
      </c>
      <c r="O68" s="295">
        <f>SUM(O69:O78)</f>
        <v>1639261.8000000003</v>
      </c>
      <c r="P68" s="298"/>
      <c r="Q68" s="307">
        <f>SUM(Q69:Q74)</f>
        <v>6925791.6000000006</v>
      </c>
      <c r="R68" s="307"/>
      <c r="S68" s="307"/>
      <c r="T68" s="295">
        <f>SUM(T69:T76)</f>
        <v>17486095.050000001</v>
      </c>
      <c r="U68" s="295">
        <f>SUM(U69:U76)</f>
        <v>17486095.050000001</v>
      </c>
      <c r="V68" s="295">
        <f>SUM(V69:V76)</f>
        <v>17486095.050000001</v>
      </c>
      <c r="W68" s="233">
        <v>23072309.280000001</v>
      </c>
      <c r="AA68" s="233">
        <f>23072309.28+U78</f>
        <v>24772056.48</v>
      </c>
      <c r="AB68" s="233">
        <f>U67-AA68</f>
        <v>-2646843.0300000012</v>
      </c>
    </row>
    <row r="69" spans="1:29" ht="46.95" customHeight="1">
      <c r="A69" s="225"/>
      <c r="B69" s="242" t="s">
        <v>266</v>
      </c>
      <c r="C69" s="574" t="s">
        <v>273</v>
      </c>
      <c r="D69" s="291" t="s">
        <v>20</v>
      </c>
      <c r="E69" s="298">
        <v>36</v>
      </c>
      <c r="F69" s="415">
        <v>36</v>
      </c>
      <c r="G69" s="298">
        <v>30</v>
      </c>
      <c r="H69" s="298">
        <v>36</v>
      </c>
      <c r="I69" s="298">
        <v>36</v>
      </c>
      <c r="J69" s="295">
        <f>45831</f>
        <v>45831</v>
      </c>
      <c r="K69" s="295">
        <f>(12142.68)</f>
        <v>12142.68</v>
      </c>
      <c r="L69" s="307">
        <v>51302.16</v>
      </c>
      <c r="M69" s="295">
        <f t="shared" si="8"/>
        <v>109275.84</v>
      </c>
      <c r="N69" s="295">
        <f>G69*J69</f>
        <v>1374930</v>
      </c>
      <c r="O69" s="295">
        <f>G69*K69</f>
        <v>364280.4</v>
      </c>
      <c r="P69" s="298"/>
      <c r="Q69" s="307">
        <f>G69*L69</f>
        <v>1539064.8</v>
      </c>
      <c r="R69" s="307"/>
      <c r="S69" s="307"/>
      <c r="T69" s="295">
        <f>SUM(N69:Q69)</f>
        <v>3278275.2</v>
      </c>
      <c r="U69" s="295">
        <f t="shared" ref="U69:V71" si="34">T69</f>
        <v>3278275.2</v>
      </c>
      <c r="V69" s="295">
        <f t="shared" si="34"/>
        <v>3278275.2</v>
      </c>
      <c r="X69" s="233">
        <f>W68-U67</f>
        <v>947095.83000000194</v>
      </c>
    </row>
    <row r="70" spans="1:29" ht="53.25" customHeight="1">
      <c r="A70" s="242"/>
      <c r="B70" s="242" t="s">
        <v>264</v>
      </c>
      <c r="C70" s="576"/>
      <c r="D70" s="291" t="s">
        <v>20</v>
      </c>
      <c r="E70" s="298">
        <v>0</v>
      </c>
      <c r="F70" s="415">
        <v>0</v>
      </c>
      <c r="G70" s="298">
        <f t="shared" ref="G70:G73" si="35">(E70/12*8)+(F70/12*4)</f>
        <v>0</v>
      </c>
      <c r="H70" s="298">
        <v>0</v>
      </c>
      <c r="I70" s="298">
        <v>0</v>
      </c>
      <c r="J70" s="295">
        <v>36323.51</v>
      </c>
      <c r="K70" s="295">
        <f t="shared" ref="K70:K71" si="36">(12142.68)</f>
        <v>12142.68</v>
      </c>
      <c r="L70" s="307">
        <v>51302.16</v>
      </c>
      <c r="M70" s="295">
        <f t="shared" si="8"/>
        <v>99768.35</v>
      </c>
      <c r="N70" s="295">
        <f>G70*J70</f>
        <v>0</v>
      </c>
      <c r="O70" s="295">
        <f>G70*K70</f>
        <v>0</v>
      </c>
      <c r="P70" s="298"/>
      <c r="Q70" s="307">
        <f>G70*L70</f>
        <v>0</v>
      </c>
      <c r="R70" s="307"/>
      <c r="S70" s="307"/>
      <c r="T70" s="295">
        <f>SUM(N70:Q70)</f>
        <v>0</v>
      </c>
      <c r="U70" s="295">
        <f t="shared" si="34"/>
        <v>0</v>
      </c>
      <c r="V70" s="295">
        <f t="shared" si="34"/>
        <v>0</v>
      </c>
    </row>
    <row r="71" spans="1:29" ht="138.75" customHeight="1">
      <c r="A71" s="242"/>
      <c r="B71" s="242" t="s">
        <v>264</v>
      </c>
      <c r="C71" s="225" t="s">
        <v>275</v>
      </c>
      <c r="D71" s="291" t="s">
        <v>20</v>
      </c>
      <c r="E71" s="298">
        <v>52</v>
      </c>
      <c r="F71" s="415">
        <v>52</v>
      </c>
      <c r="G71" s="298">
        <v>105</v>
      </c>
      <c r="H71" s="298">
        <v>52</v>
      </c>
      <c r="I71" s="298">
        <v>52</v>
      </c>
      <c r="J71" s="299">
        <v>69653.86</v>
      </c>
      <c r="K71" s="295">
        <f t="shared" si="36"/>
        <v>12142.68</v>
      </c>
      <c r="L71" s="307">
        <v>51302.16</v>
      </c>
      <c r="M71" s="295">
        <f t="shared" si="8"/>
        <v>133098.70000000001</v>
      </c>
      <c r="N71" s="295">
        <f>G71*J71</f>
        <v>7313655.2999999998</v>
      </c>
      <c r="O71" s="295">
        <f>G71*K71</f>
        <v>1274981.4000000001</v>
      </c>
      <c r="P71" s="298"/>
      <c r="Q71" s="307">
        <f>G71*L71</f>
        <v>5386726.8000000007</v>
      </c>
      <c r="R71" s="307"/>
      <c r="S71" s="307"/>
      <c r="T71" s="295">
        <f>SUM(N71:Q71)</f>
        <v>13975363.5</v>
      </c>
      <c r="U71" s="295">
        <f t="shared" si="34"/>
        <v>13975363.5</v>
      </c>
      <c r="V71" s="295">
        <f t="shared" si="34"/>
        <v>13975363.5</v>
      </c>
      <c r="W71" s="233">
        <f>T71-U71</f>
        <v>0</v>
      </c>
    </row>
    <row r="72" spans="1:29" s="222" customFormat="1" ht="26.25" hidden="1" customHeight="1">
      <c r="A72" s="291"/>
      <c r="B72" s="300"/>
      <c r="C72" s="291" t="s">
        <v>226</v>
      </c>
      <c r="D72" s="291"/>
      <c r="E72" s="298"/>
      <c r="F72" s="415"/>
      <c r="G72" s="298">
        <f t="shared" si="35"/>
        <v>0</v>
      </c>
      <c r="H72" s="298"/>
      <c r="I72" s="298"/>
      <c r="J72" s="295"/>
      <c r="K72" s="295">
        <f t="shared" ref="K72:K73" si="37">(12142.68*2.691335519)</f>
        <v>32680.025979850918</v>
      </c>
      <c r="L72" s="307">
        <v>34363.839999999997</v>
      </c>
      <c r="M72" s="295">
        <v>0</v>
      </c>
      <c r="N72" s="295">
        <v>0</v>
      </c>
      <c r="O72" s="295">
        <v>0</v>
      </c>
      <c r="P72" s="298"/>
      <c r="Q72" s="307"/>
      <c r="R72" s="307"/>
      <c r="S72" s="307"/>
      <c r="T72" s="295">
        <f>O72</f>
        <v>0</v>
      </c>
      <c r="U72" s="295">
        <f t="shared" ref="U72:V77" si="38">T72</f>
        <v>0</v>
      </c>
      <c r="V72" s="295">
        <f t="shared" si="38"/>
        <v>0</v>
      </c>
    </row>
    <row r="73" spans="1:29" s="222" customFormat="1" ht="36" hidden="1" customHeight="1">
      <c r="A73" s="291"/>
      <c r="B73" s="300"/>
      <c r="C73" s="291" t="s">
        <v>226</v>
      </c>
      <c r="D73" s="291"/>
      <c r="E73" s="298"/>
      <c r="F73" s="415"/>
      <c r="G73" s="298">
        <f t="shared" si="35"/>
        <v>0</v>
      </c>
      <c r="H73" s="298"/>
      <c r="I73" s="298"/>
      <c r="J73" s="295"/>
      <c r="K73" s="295">
        <f t="shared" si="37"/>
        <v>32680.025979850918</v>
      </c>
      <c r="L73" s="307">
        <v>34363.839999999997</v>
      </c>
      <c r="M73" s="295">
        <v>0</v>
      </c>
      <c r="N73" s="295">
        <v>0</v>
      </c>
      <c r="O73" s="295">
        <v>0</v>
      </c>
      <c r="P73" s="298"/>
      <c r="Q73" s="307"/>
      <c r="R73" s="307"/>
      <c r="S73" s="307"/>
      <c r="T73" s="295">
        <f>N73</f>
        <v>0</v>
      </c>
      <c r="U73" s="295">
        <f t="shared" si="38"/>
        <v>0</v>
      </c>
      <c r="V73" s="295">
        <f t="shared" si="38"/>
        <v>0</v>
      </c>
    </row>
    <row r="74" spans="1:29" ht="138.75" customHeight="1">
      <c r="A74" s="242"/>
      <c r="B74" s="242" t="s">
        <v>264</v>
      </c>
      <c r="C74" s="225" t="s">
        <v>361</v>
      </c>
      <c r="D74" s="386" t="s">
        <v>20</v>
      </c>
      <c r="E74" s="298">
        <v>46</v>
      </c>
      <c r="F74" s="415">
        <v>46</v>
      </c>
      <c r="G74" s="298">
        <v>0</v>
      </c>
      <c r="H74" s="298">
        <v>46</v>
      </c>
      <c r="I74" s="298">
        <v>46</v>
      </c>
      <c r="J74" s="299">
        <v>57018.5</v>
      </c>
      <c r="K74" s="295">
        <f t="shared" ref="K74" si="39">(12142.68)</f>
        <v>12142.68</v>
      </c>
      <c r="L74" s="307">
        <v>51302.16</v>
      </c>
      <c r="M74" s="295">
        <f t="shared" ref="M74" si="40">J74+K74+L74</f>
        <v>120463.34</v>
      </c>
      <c r="N74" s="295">
        <f>G74*J74</f>
        <v>0</v>
      </c>
      <c r="O74" s="295">
        <f>G74*K74</f>
        <v>0</v>
      </c>
      <c r="P74" s="298"/>
      <c r="Q74" s="307">
        <f>G74*L74</f>
        <v>0</v>
      </c>
      <c r="R74" s="307"/>
      <c r="S74" s="307"/>
      <c r="T74" s="295">
        <f>SUM(N74:Q74)</f>
        <v>0</v>
      </c>
      <c r="U74" s="295">
        <f t="shared" si="38"/>
        <v>0</v>
      </c>
      <c r="V74" s="295">
        <f t="shared" si="38"/>
        <v>0</v>
      </c>
      <c r="W74" s="233">
        <f>T74-U74</f>
        <v>0</v>
      </c>
    </row>
    <row r="75" spans="1:29" ht="77.25" customHeight="1">
      <c r="A75" s="242"/>
      <c r="B75" s="242" t="s">
        <v>181</v>
      </c>
      <c r="C75" s="387" t="s">
        <v>362</v>
      </c>
      <c r="D75" s="291" t="s">
        <v>20</v>
      </c>
      <c r="E75" s="298">
        <v>46</v>
      </c>
      <c r="F75" s="415">
        <v>46</v>
      </c>
      <c r="G75" s="298">
        <v>0</v>
      </c>
      <c r="H75" s="298">
        <v>46</v>
      </c>
      <c r="I75" s="298">
        <v>46</v>
      </c>
      <c r="J75" s="295">
        <v>2655.01</v>
      </c>
      <c r="K75" s="295"/>
      <c r="L75" s="307">
        <v>51302.16</v>
      </c>
      <c r="M75" s="295">
        <f t="shared" si="8"/>
        <v>53957.170000000006</v>
      </c>
      <c r="N75" s="295">
        <f>G75*J75</f>
        <v>0</v>
      </c>
      <c r="O75" s="295"/>
      <c r="P75" s="298"/>
      <c r="Q75" s="307"/>
      <c r="R75" s="307"/>
      <c r="S75" s="307"/>
      <c r="T75" s="295">
        <f>N75</f>
        <v>0</v>
      </c>
      <c r="U75" s="295">
        <f t="shared" si="38"/>
        <v>0</v>
      </c>
      <c r="V75" s="295">
        <f t="shared" si="38"/>
        <v>0</v>
      </c>
    </row>
    <row r="76" spans="1:29" ht="83.25" customHeight="1">
      <c r="A76" s="242"/>
      <c r="B76" s="242" t="s">
        <v>181</v>
      </c>
      <c r="C76" s="303" t="s">
        <v>278</v>
      </c>
      <c r="D76" s="291" t="s">
        <v>20</v>
      </c>
      <c r="E76" s="298">
        <v>52</v>
      </c>
      <c r="F76" s="415">
        <v>52</v>
      </c>
      <c r="G76" s="298">
        <v>105</v>
      </c>
      <c r="H76" s="298">
        <v>52</v>
      </c>
      <c r="I76" s="298">
        <v>52</v>
      </c>
      <c r="J76" s="295">
        <v>2213.87</v>
      </c>
      <c r="K76" s="295"/>
      <c r="L76" s="307">
        <v>51302.16</v>
      </c>
      <c r="M76" s="295">
        <f t="shared" si="8"/>
        <v>53516.030000000006</v>
      </c>
      <c r="N76" s="295">
        <f>G76*J76</f>
        <v>232456.34999999998</v>
      </c>
      <c r="O76" s="295"/>
      <c r="P76" s="298"/>
      <c r="Q76" s="307"/>
      <c r="R76" s="307"/>
      <c r="S76" s="307"/>
      <c r="T76" s="295">
        <f>N76</f>
        <v>232456.34999999998</v>
      </c>
      <c r="U76" s="295">
        <f t="shared" si="38"/>
        <v>232456.34999999998</v>
      </c>
      <c r="V76" s="295">
        <f t="shared" si="38"/>
        <v>232456.34999999998</v>
      </c>
    </row>
    <row r="77" spans="1:29" ht="60" customHeight="1">
      <c r="A77" s="225" t="s">
        <v>247</v>
      </c>
      <c r="B77" s="242" t="s">
        <v>302</v>
      </c>
      <c r="C77" s="242" t="s">
        <v>219</v>
      </c>
      <c r="D77" s="291" t="s">
        <v>20</v>
      </c>
      <c r="E77" s="298">
        <f>E71+E70+E69+E74</f>
        <v>134</v>
      </c>
      <c r="F77" s="298">
        <f>F71+F70+F69+F74</f>
        <v>134</v>
      </c>
      <c r="G77" s="298">
        <f t="shared" ref="G77:I77" si="41">G71+G70+G69+G74</f>
        <v>135</v>
      </c>
      <c r="H77" s="298">
        <f t="shared" si="41"/>
        <v>134</v>
      </c>
      <c r="I77" s="298">
        <f t="shared" si="41"/>
        <v>134</v>
      </c>
      <c r="J77" s="295"/>
      <c r="K77" s="295"/>
      <c r="L77" s="307">
        <v>21773.119999999999</v>
      </c>
      <c r="M77" s="295">
        <f t="shared" si="8"/>
        <v>21773.119999999999</v>
      </c>
      <c r="N77" s="298">
        <f>E77*J77</f>
        <v>0</v>
      </c>
      <c r="O77" s="295"/>
      <c r="P77" s="298"/>
      <c r="Q77" s="307">
        <f>G77*L77</f>
        <v>2939371.1999999997</v>
      </c>
      <c r="R77" s="307"/>
      <c r="S77" s="307"/>
      <c r="T77" s="295">
        <f>SUM(N77:Q77)</f>
        <v>2939371.1999999997</v>
      </c>
      <c r="U77" s="295">
        <f t="shared" si="38"/>
        <v>2939371.1999999997</v>
      </c>
      <c r="V77" s="295">
        <f t="shared" si="38"/>
        <v>2939371.1999999997</v>
      </c>
    </row>
    <row r="78" spans="1:29" ht="19.2" customHeight="1">
      <c r="A78" s="242"/>
      <c r="B78" s="242" t="s">
        <v>302</v>
      </c>
      <c r="C78" s="242" t="s">
        <v>220</v>
      </c>
      <c r="D78" s="291"/>
      <c r="E78" s="298"/>
      <c r="F78" s="298"/>
      <c r="G78" s="298">
        <v>135</v>
      </c>
      <c r="H78" s="298">
        <v>134</v>
      </c>
      <c r="I78" s="298">
        <v>134</v>
      </c>
      <c r="J78" s="295"/>
      <c r="K78" s="295"/>
      <c r="L78" s="307">
        <v>12590.72</v>
      </c>
      <c r="M78" s="295">
        <f t="shared" si="8"/>
        <v>12590.72</v>
      </c>
      <c r="N78" s="298"/>
      <c r="O78" s="295"/>
      <c r="P78" s="298"/>
      <c r="Q78" s="307"/>
      <c r="R78" s="307"/>
      <c r="S78" s="307">
        <f>G78*L78</f>
        <v>1699747.2</v>
      </c>
      <c r="T78" s="295">
        <f>S78:S79</f>
        <v>1699747.2</v>
      </c>
      <c r="U78" s="295">
        <f>S78</f>
        <v>1699747.2</v>
      </c>
      <c r="V78" s="295">
        <f>S78</f>
        <v>1699747.2</v>
      </c>
    </row>
    <row r="79" spans="1:29" ht="24" customHeight="1">
      <c r="A79" s="300" t="s">
        <v>57</v>
      </c>
      <c r="B79" s="294"/>
      <c r="C79" s="294"/>
      <c r="D79" s="300"/>
      <c r="E79" s="301"/>
      <c r="F79" s="301"/>
      <c r="G79" s="301"/>
      <c r="H79" s="301"/>
      <c r="I79" s="301"/>
      <c r="J79" s="297"/>
      <c r="K79" s="295"/>
      <c r="L79" s="308"/>
      <c r="M79" s="295">
        <f t="shared" si="8"/>
        <v>0</v>
      </c>
      <c r="N79" s="308">
        <f>N80+N88</f>
        <v>7671119.7300000004</v>
      </c>
      <c r="O79" s="308">
        <f>O80+O88</f>
        <v>1335694.7999999998</v>
      </c>
      <c r="P79" s="313"/>
      <c r="Q79" s="308">
        <f>Q80+Q88</f>
        <v>8038280.8000000007</v>
      </c>
      <c r="R79" s="308"/>
      <c r="S79" s="308">
        <f>S89</f>
        <v>1384979.2</v>
      </c>
      <c r="T79" s="308">
        <f>T80+T88+T89</f>
        <v>18430074.529999997</v>
      </c>
      <c r="U79" s="297">
        <f>U80+U88+U89</f>
        <v>17446591.969999999</v>
      </c>
      <c r="V79" s="297">
        <f>V80+V88+V89</f>
        <v>17446591.969999999</v>
      </c>
      <c r="W79" s="233">
        <v>6315385.3799999999</v>
      </c>
      <c r="X79" s="233">
        <f>W79-Q79</f>
        <v>-1722895.4200000009</v>
      </c>
      <c r="Y79" s="221">
        <f>X79/G88</f>
        <v>-15662.685636363643</v>
      </c>
      <c r="AA79" s="221">
        <v>5964695.5300000003</v>
      </c>
      <c r="AB79" s="233">
        <f>AA79-Q79</f>
        <v>-2073585.2700000005</v>
      </c>
      <c r="AC79" s="221">
        <f>AB79/I88</f>
        <v>-18680.948378378383</v>
      </c>
    </row>
    <row r="80" spans="1:29" ht="76.95" customHeight="1">
      <c r="A80" s="225" t="s">
        <v>246</v>
      </c>
      <c r="B80" s="237" t="s">
        <v>76</v>
      </c>
      <c r="C80" s="237"/>
      <c r="D80" s="291"/>
      <c r="E80" s="298"/>
      <c r="F80" s="298"/>
      <c r="G80" s="298"/>
      <c r="H80" s="298"/>
      <c r="I80" s="298"/>
      <c r="J80" s="295"/>
      <c r="K80" s="295"/>
      <c r="L80" s="307"/>
      <c r="M80" s="295">
        <f t="shared" si="8"/>
        <v>0</v>
      </c>
      <c r="N80" s="295">
        <f>SUM(N81:N87)</f>
        <v>7671119.7300000004</v>
      </c>
      <c r="O80" s="295">
        <f>SUM(O81:O89)</f>
        <v>1335694.7999999998</v>
      </c>
      <c r="P80" s="298"/>
      <c r="Q80" s="307">
        <f>SUM(Q81:Q85)</f>
        <v>5643237.6000000006</v>
      </c>
      <c r="R80" s="307"/>
      <c r="S80" s="307"/>
      <c r="T80" s="295">
        <f>SUM(T81:T87)</f>
        <v>14650052.129999999</v>
      </c>
      <c r="U80" s="295">
        <f>SUM(U81:U87)</f>
        <v>13666569.569999998</v>
      </c>
      <c r="V80" s="295">
        <f>SUM(V81:V87)</f>
        <v>13666569.569999998</v>
      </c>
      <c r="W80" s="233">
        <v>15874228.029999999</v>
      </c>
      <c r="AA80" s="233">
        <f>15874228.03+U89</f>
        <v>17259207.23</v>
      </c>
      <c r="AB80" s="233">
        <f>U79-AA80</f>
        <v>187384.73999999836</v>
      </c>
    </row>
    <row r="81" spans="1:29" ht="22.5" customHeight="1">
      <c r="A81" s="225"/>
      <c r="B81" s="242" t="s">
        <v>266</v>
      </c>
      <c r="C81" s="574" t="s">
        <v>273</v>
      </c>
      <c r="D81" s="291" t="s">
        <v>20</v>
      </c>
      <c r="E81" s="298">
        <v>19</v>
      </c>
      <c r="F81" s="298">
        <v>19</v>
      </c>
      <c r="G81" s="298">
        <v>9</v>
      </c>
      <c r="H81" s="298">
        <v>19</v>
      </c>
      <c r="I81" s="298">
        <v>19</v>
      </c>
      <c r="J81" s="295">
        <f>45831</f>
        <v>45831</v>
      </c>
      <c r="K81" s="295">
        <f>(12142.68)</f>
        <v>12142.68</v>
      </c>
      <c r="L81" s="307">
        <v>51302.16</v>
      </c>
      <c r="M81" s="295">
        <f t="shared" si="8"/>
        <v>109275.84</v>
      </c>
      <c r="N81" s="295">
        <f t="shared" ref="N81:N88" si="42">G81*J81</f>
        <v>412479</v>
      </c>
      <c r="O81" s="295">
        <f t="shared" ref="O81:O87" si="43">G81*K81</f>
        <v>109284.12</v>
      </c>
      <c r="P81" s="298"/>
      <c r="Q81" s="307">
        <f>G81*L81</f>
        <v>461719.44000000006</v>
      </c>
      <c r="R81" s="307"/>
      <c r="S81" s="307"/>
      <c r="T81" s="295">
        <f>N81+O81+P81+Q81+R81</f>
        <v>983482.56</v>
      </c>
      <c r="U81" s="295">
        <v>0</v>
      </c>
      <c r="V81" s="295">
        <f>U81</f>
        <v>0</v>
      </c>
    </row>
    <row r="82" spans="1:29" ht="24" customHeight="1">
      <c r="A82" s="225"/>
      <c r="B82" s="242" t="s">
        <v>264</v>
      </c>
      <c r="C82" s="575"/>
      <c r="D82" s="291" t="s">
        <v>20</v>
      </c>
      <c r="E82" s="298">
        <v>0</v>
      </c>
      <c r="F82" s="298">
        <v>0</v>
      </c>
      <c r="G82" s="298">
        <f t="shared" ref="G82:G86" si="44">(E82/12*8)+(F82/12*4)</f>
        <v>0</v>
      </c>
      <c r="H82" s="298">
        <v>0</v>
      </c>
      <c r="I82" s="298">
        <v>0</v>
      </c>
      <c r="J82" s="295">
        <v>36323.51</v>
      </c>
      <c r="K82" s="295">
        <f>(12142.68)</f>
        <v>12142.68</v>
      </c>
      <c r="L82" s="307">
        <v>51302.16</v>
      </c>
      <c r="M82" s="295">
        <f t="shared" si="8"/>
        <v>99768.35</v>
      </c>
      <c r="N82" s="295">
        <f t="shared" si="42"/>
        <v>0</v>
      </c>
      <c r="O82" s="295">
        <f t="shared" si="43"/>
        <v>0</v>
      </c>
      <c r="P82" s="298"/>
      <c r="Q82" s="307">
        <f>G82*L82</f>
        <v>0</v>
      </c>
      <c r="R82" s="307"/>
      <c r="S82" s="307"/>
      <c r="T82" s="295">
        <f t="shared" ref="T82:T88" si="45">SUM(N82:Q82)</f>
        <v>0</v>
      </c>
      <c r="U82" s="295">
        <f t="shared" ref="U82:U87" si="46">T82</f>
        <v>0</v>
      </c>
      <c r="V82" s="295">
        <f>U82</f>
        <v>0</v>
      </c>
      <c r="X82" s="233">
        <f>W80-U79</f>
        <v>-1572363.9399999995</v>
      </c>
    </row>
    <row r="83" spans="1:29" ht="112.95" customHeight="1">
      <c r="A83" s="225"/>
      <c r="B83" s="225" t="s">
        <v>263</v>
      </c>
      <c r="C83" s="576"/>
      <c r="D83" s="291" t="s">
        <v>20</v>
      </c>
      <c r="E83" s="298">
        <v>0</v>
      </c>
      <c r="F83" s="298">
        <v>0</v>
      </c>
      <c r="G83" s="298">
        <f t="shared" si="44"/>
        <v>0</v>
      </c>
      <c r="H83" s="298">
        <v>0</v>
      </c>
      <c r="I83" s="298">
        <v>0</v>
      </c>
      <c r="J83" s="299">
        <v>71487.61</v>
      </c>
      <c r="K83" s="295">
        <f>(12142.68)</f>
        <v>12142.68</v>
      </c>
      <c r="L83" s="307">
        <v>51302.16</v>
      </c>
      <c r="M83" s="295"/>
      <c r="N83" s="295">
        <f t="shared" si="42"/>
        <v>0</v>
      </c>
      <c r="O83" s="295">
        <f t="shared" si="43"/>
        <v>0</v>
      </c>
      <c r="P83" s="298"/>
      <c r="Q83" s="307">
        <f>G83*L83</f>
        <v>0</v>
      </c>
      <c r="R83" s="307"/>
      <c r="S83" s="307"/>
      <c r="T83" s="295">
        <f t="shared" si="45"/>
        <v>0</v>
      </c>
      <c r="U83" s="295">
        <f t="shared" si="46"/>
        <v>0</v>
      </c>
      <c r="V83" s="295">
        <f>U83</f>
        <v>0</v>
      </c>
    </row>
    <row r="84" spans="1:29" ht="110.4">
      <c r="A84" s="225"/>
      <c r="B84" s="242" t="s">
        <v>264</v>
      </c>
      <c r="C84" s="225" t="s">
        <v>268</v>
      </c>
      <c r="D84" s="291" t="s">
        <v>20</v>
      </c>
      <c r="E84" s="304">
        <v>92</v>
      </c>
      <c r="F84" s="298">
        <v>92</v>
      </c>
      <c r="G84" s="298">
        <v>101</v>
      </c>
      <c r="H84" s="298">
        <v>92</v>
      </c>
      <c r="I84" s="298">
        <v>92</v>
      </c>
      <c r="J84" s="299">
        <v>69653.86</v>
      </c>
      <c r="K84" s="295">
        <f>(12142.68)</f>
        <v>12142.68</v>
      </c>
      <c r="L84" s="307">
        <v>51302.16</v>
      </c>
      <c r="M84" s="295">
        <f t="shared" ref="M84:M126" si="47">J84+K84+L84</f>
        <v>133098.70000000001</v>
      </c>
      <c r="N84" s="295">
        <f t="shared" si="42"/>
        <v>7035039.8600000003</v>
      </c>
      <c r="O84" s="295">
        <f t="shared" si="43"/>
        <v>1226410.68</v>
      </c>
      <c r="P84" s="298"/>
      <c r="Q84" s="307">
        <f>G84*L84</f>
        <v>5181518.16</v>
      </c>
      <c r="R84" s="307"/>
      <c r="S84" s="307"/>
      <c r="T84" s="295">
        <f t="shared" si="45"/>
        <v>13442968.699999999</v>
      </c>
      <c r="U84" s="295">
        <f t="shared" si="46"/>
        <v>13442968.699999999</v>
      </c>
      <c r="V84" s="295">
        <f>U84</f>
        <v>13442968.699999999</v>
      </c>
    </row>
    <row r="85" spans="1:29" ht="36" customHeight="1">
      <c r="A85" s="303"/>
      <c r="B85" s="242" t="s">
        <v>181</v>
      </c>
      <c r="C85" s="574" t="s">
        <v>280</v>
      </c>
      <c r="D85" s="291" t="s">
        <v>20</v>
      </c>
      <c r="E85" s="298">
        <v>0</v>
      </c>
      <c r="F85" s="298">
        <v>0</v>
      </c>
      <c r="G85" s="298">
        <f t="shared" si="44"/>
        <v>0</v>
      </c>
      <c r="H85" s="298">
        <v>0</v>
      </c>
      <c r="I85" s="298">
        <v>0</v>
      </c>
      <c r="J85" s="299">
        <v>1660.4</v>
      </c>
      <c r="K85" s="295"/>
      <c r="L85" s="307">
        <v>51302.16</v>
      </c>
      <c r="M85" s="295">
        <f t="shared" si="47"/>
        <v>52962.560000000005</v>
      </c>
      <c r="N85" s="295">
        <f t="shared" si="42"/>
        <v>0</v>
      </c>
      <c r="O85" s="295">
        <f t="shared" si="43"/>
        <v>0</v>
      </c>
      <c r="P85" s="298"/>
      <c r="Q85" s="307"/>
      <c r="R85" s="307"/>
      <c r="S85" s="307"/>
      <c r="T85" s="295">
        <f t="shared" si="45"/>
        <v>0</v>
      </c>
      <c r="U85" s="295">
        <f t="shared" si="46"/>
        <v>0</v>
      </c>
      <c r="V85" s="295">
        <f t="shared" ref="U85:V88" si="48">U85</f>
        <v>0</v>
      </c>
    </row>
    <row r="86" spans="1:29" ht="47.25" customHeight="1">
      <c r="A86" s="303"/>
      <c r="B86" s="242" t="s">
        <v>317</v>
      </c>
      <c r="C86" s="576"/>
      <c r="D86" s="291" t="s">
        <v>20</v>
      </c>
      <c r="E86" s="298">
        <v>0</v>
      </c>
      <c r="F86" s="298">
        <v>0</v>
      </c>
      <c r="G86" s="298">
        <f t="shared" si="44"/>
        <v>0</v>
      </c>
      <c r="H86" s="298">
        <v>0</v>
      </c>
      <c r="I86" s="298">
        <v>0</v>
      </c>
      <c r="J86" s="299">
        <v>3320.82</v>
      </c>
      <c r="K86" s="295"/>
      <c r="L86" s="307">
        <v>51302.16</v>
      </c>
      <c r="M86" s="295">
        <f t="shared" si="47"/>
        <v>54622.98</v>
      </c>
      <c r="N86" s="295">
        <f t="shared" si="42"/>
        <v>0</v>
      </c>
      <c r="O86" s="295">
        <f t="shared" si="43"/>
        <v>0</v>
      </c>
      <c r="P86" s="298"/>
      <c r="Q86" s="307"/>
      <c r="R86" s="307"/>
      <c r="S86" s="307"/>
      <c r="T86" s="295">
        <f t="shared" si="45"/>
        <v>0</v>
      </c>
      <c r="U86" s="295">
        <f t="shared" si="46"/>
        <v>0</v>
      </c>
      <c r="V86" s="295">
        <f>U86</f>
        <v>0</v>
      </c>
    </row>
    <row r="87" spans="1:29" ht="81" customHeight="1">
      <c r="A87" s="303"/>
      <c r="B87" s="242" t="s">
        <v>181</v>
      </c>
      <c r="C87" s="303" t="s">
        <v>278</v>
      </c>
      <c r="D87" s="291" t="s">
        <v>20</v>
      </c>
      <c r="E87" s="298">
        <v>92</v>
      </c>
      <c r="F87" s="298">
        <v>92</v>
      </c>
      <c r="G87" s="298">
        <v>101</v>
      </c>
      <c r="H87" s="298">
        <v>92</v>
      </c>
      <c r="I87" s="298">
        <v>92</v>
      </c>
      <c r="J87" s="299">
        <v>2213.87</v>
      </c>
      <c r="K87" s="295"/>
      <c r="L87" s="307">
        <v>51302.16</v>
      </c>
      <c r="M87" s="295">
        <f t="shared" si="47"/>
        <v>53516.030000000006</v>
      </c>
      <c r="N87" s="295">
        <f t="shared" si="42"/>
        <v>223600.87</v>
      </c>
      <c r="O87" s="295">
        <f t="shared" si="43"/>
        <v>0</v>
      </c>
      <c r="P87" s="298"/>
      <c r="Q87" s="307"/>
      <c r="R87" s="307"/>
      <c r="S87" s="307"/>
      <c r="T87" s="295">
        <f t="shared" si="45"/>
        <v>223600.87</v>
      </c>
      <c r="U87" s="295">
        <f t="shared" si="46"/>
        <v>223600.87</v>
      </c>
      <c r="V87" s="295">
        <f t="shared" si="48"/>
        <v>223600.87</v>
      </c>
    </row>
    <row r="88" spans="1:29" ht="55.2">
      <c r="A88" s="225" t="s">
        <v>247</v>
      </c>
      <c r="B88" s="242" t="s">
        <v>28</v>
      </c>
      <c r="C88" s="242" t="s">
        <v>219</v>
      </c>
      <c r="D88" s="291" t="s">
        <v>20</v>
      </c>
      <c r="E88" s="298">
        <f>E81+E82+E83+E84</f>
        <v>111</v>
      </c>
      <c r="F88" s="298">
        <f>F81+F82+F83+F84</f>
        <v>111</v>
      </c>
      <c r="G88" s="298">
        <f>G81+G82+G83+G84</f>
        <v>110</v>
      </c>
      <c r="H88" s="298">
        <f>H81+H82+H83+H84</f>
        <v>111</v>
      </c>
      <c r="I88" s="298">
        <f>I81+I82+I83+I84</f>
        <v>111</v>
      </c>
      <c r="J88" s="295"/>
      <c r="K88" s="295">
        <f>(12142.68)</f>
        <v>12142.68</v>
      </c>
      <c r="L88" s="307">
        <v>21773.119999999999</v>
      </c>
      <c r="M88" s="295">
        <f t="shared" si="47"/>
        <v>33915.800000000003</v>
      </c>
      <c r="N88" s="295">
        <f t="shared" si="42"/>
        <v>0</v>
      </c>
      <c r="O88" s="295">
        <v>0</v>
      </c>
      <c r="P88" s="298"/>
      <c r="Q88" s="307">
        <f>G88*L88</f>
        <v>2395043.1999999997</v>
      </c>
      <c r="R88" s="307"/>
      <c r="S88" s="307"/>
      <c r="T88" s="295">
        <f t="shared" si="45"/>
        <v>2395043.1999999997</v>
      </c>
      <c r="U88" s="295">
        <f t="shared" si="48"/>
        <v>2395043.1999999997</v>
      </c>
      <c r="V88" s="295">
        <f t="shared" si="48"/>
        <v>2395043.1999999997</v>
      </c>
    </row>
    <row r="89" spans="1:29" ht="18" customHeight="1">
      <c r="A89" s="242"/>
      <c r="B89" s="242" t="s">
        <v>28</v>
      </c>
      <c r="C89" s="242" t="s">
        <v>220</v>
      </c>
      <c r="D89" s="291"/>
      <c r="E89" s="298"/>
      <c r="F89" s="298"/>
      <c r="G89" s="298">
        <v>110</v>
      </c>
      <c r="H89" s="298">
        <v>111</v>
      </c>
      <c r="I89" s="298">
        <v>111</v>
      </c>
      <c r="J89" s="295"/>
      <c r="K89" s="295">
        <f>(12142.68)</f>
        <v>12142.68</v>
      </c>
      <c r="L89" s="307">
        <v>12590.72</v>
      </c>
      <c r="M89" s="295">
        <f t="shared" si="47"/>
        <v>24733.4</v>
      </c>
      <c r="N89" s="298"/>
      <c r="O89" s="295"/>
      <c r="P89" s="298"/>
      <c r="Q89" s="307"/>
      <c r="R89" s="307"/>
      <c r="S89" s="307">
        <f>G89*L89</f>
        <v>1384979.2</v>
      </c>
      <c r="T89" s="295">
        <f>S89</f>
        <v>1384979.2</v>
      </c>
      <c r="U89" s="295">
        <f>S89</f>
        <v>1384979.2</v>
      </c>
      <c r="V89" s="295">
        <f>S89</f>
        <v>1384979.2</v>
      </c>
    </row>
    <row r="90" spans="1:29" ht="31.2" customHeight="1">
      <c r="A90" s="294" t="s">
        <v>61</v>
      </c>
      <c r="B90" s="294"/>
      <c r="C90" s="294"/>
      <c r="D90" s="300"/>
      <c r="E90" s="301"/>
      <c r="F90" s="301"/>
      <c r="G90" s="301"/>
      <c r="H90" s="301"/>
      <c r="I90" s="301"/>
      <c r="J90" s="297"/>
      <c r="K90" s="295"/>
      <c r="L90" s="308"/>
      <c r="M90" s="295">
        <f t="shared" si="47"/>
        <v>0</v>
      </c>
      <c r="N90" s="308">
        <f>N91+N101</f>
        <v>13897900.369999999</v>
      </c>
      <c r="O90" s="308">
        <f>O91+O101</f>
        <v>2052112.92</v>
      </c>
      <c r="P90" s="308"/>
      <c r="Q90" s="308">
        <f>Q91+Q101</f>
        <v>12349722.32</v>
      </c>
      <c r="R90" s="308"/>
      <c r="S90" s="308">
        <f>S102</f>
        <v>2127831.6799999997</v>
      </c>
      <c r="T90" s="308">
        <f>T91+T101+T102</f>
        <v>30427567.289999999</v>
      </c>
      <c r="U90" s="297">
        <f>U91+U101+U102</f>
        <v>30427567.289999999</v>
      </c>
      <c r="V90" s="297">
        <f>V91+V101+V102</f>
        <v>30427567.289999999</v>
      </c>
      <c r="W90" s="221">
        <v>11124194.529999999</v>
      </c>
      <c r="X90" s="233">
        <f>W90-Q90</f>
        <v>-1225527.790000001</v>
      </c>
      <c r="Y90" s="221">
        <f>X90/G101</f>
        <v>-7251.6437278106569</v>
      </c>
      <c r="AA90" s="221">
        <v>11727438.529999999</v>
      </c>
      <c r="AB90" s="233">
        <f>AA90-Q90</f>
        <v>-622283.79000000097</v>
      </c>
      <c r="AC90" s="236">
        <f>AB90/I101</f>
        <v>-3865.1167080745404</v>
      </c>
    </row>
    <row r="91" spans="1:29" ht="83.25" customHeight="1">
      <c r="A91" s="225" t="s">
        <v>246</v>
      </c>
      <c r="B91" s="237" t="s">
        <v>76</v>
      </c>
      <c r="C91" s="237"/>
      <c r="D91" s="291"/>
      <c r="E91" s="298"/>
      <c r="F91" s="298"/>
      <c r="G91" s="298"/>
      <c r="H91" s="298"/>
      <c r="I91" s="298"/>
      <c r="J91" s="295"/>
      <c r="K91" s="295"/>
      <c r="L91" s="307"/>
      <c r="M91" s="295">
        <f t="shared" si="47"/>
        <v>0</v>
      </c>
      <c r="N91" s="295">
        <f>N92+N96+N100+N95+N97+N93+N99+N98+N94</f>
        <v>13897900.369999999</v>
      </c>
      <c r="O91" s="295">
        <f>SUM(O92:O102)</f>
        <v>2052112.92</v>
      </c>
      <c r="P91" s="295"/>
      <c r="Q91" s="307">
        <f>SUM(Q92:Q100)</f>
        <v>8670065.040000001</v>
      </c>
      <c r="R91" s="307"/>
      <c r="S91" s="307"/>
      <c r="T91" s="295">
        <f>SUM(T92:T100)</f>
        <v>24620078.329999998</v>
      </c>
      <c r="U91" s="295">
        <f>SUM(U92:U100)</f>
        <v>24620078.329999998</v>
      </c>
      <c r="V91" s="295">
        <f>SUM(V92:V100)</f>
        <v>24620078.329999998</v>
      </c>
      <c r="W91" s="233">
        <v>35333149.530000001</v>
      </c>
      <c r="AA91" s="233">
        <f>35333149.53+U102</f>
        <v>37460981.210000001</v>
      </c>
      <c r="AB91" s="233">
        <f>U90-AA91</f>
        <v>-7033413.9200000018</v>
      </c>
    </row>
    <row r="92" spans="1:29" ht="96.6">
      <c r="A92" s="225"/>
      <c r="B92" s="242" t="s">
        <v>266</v>
      </c>
      <c r="C92" s="225" t="s">
        <v>273</v>
      </c>
      <c r="D92" s="291" t="s">
        <v>20</v>
      </c>
      <c r="E92" s="298">
        <v>27</v>
      </c>
      <c r="F92" s="298">
        <v>27</v>
      </c>
      <c r="G92" s="298">
        <v>18</v>
      </c>
      <c r="H92" s="298">
        <v>27</v>
      </c>
      <c r="I92" s="298">
        <v>27</v>
      </c>
      <c r="J92" s="295">
        <f>45831</f>
        <v>45831</v>
      </c>
      <c r="K92" s="295">
        <f>(12142.68)</f>
        <v>12142.68</v>
      </c>
      <c r="L92" s="307">
        <v>51302.16</v>
      </c>
      <c r="M92" s="295">
        <f t="shared" si="47"/>
        <v>109275.84</v>
      </c>
      <c r="N92" s="295">
        <f t="shared" ref="N92:N100" si="49">G92*J92</f>
        <v>824958</v>
      </c>
      <c r="O92" s="295">
        <f>G92*K92</f>
        <v>218568.24</v>
      </c>
      <c r="P92" s="295"/>
      <c r="Q92" s="307">
        <f t="shared" ref="Q92:Q99" si="50">G92*L92</f>
        <v>923438.88000000012</v>
      </c>
      <c r="R92" s="307"/>
      <c r="S92" s="307"/>
      <c r="T92" s="295">
        <f t="shared" ref="T92:T100" si="51">SUM(N92:Q92)</f>
        <v>1966965.12</v>
      </c>
      <c r="U92" s="295">
        <f t="shared" ref="U92:U101" si="52">T92</f>
        <v>1966965.12</v>
      </c>
      <c r="V92" s="295">
        <f t="shared" ref="V92:V101" si="53">U92</f>
        <v>1966965.12</v>
      </c>
      <c r="X92" s="233">
        <f>W91-U90</f>
        <v>4905582.2400000021</v>
      </c>
      <c r="AA92" s="233"/>
    </row>
    <row r="93" spans="1:29" ht="96.6">
      <c r="A93" s="225"/>
      <c r="B93" s="242" t="s">
        <v>363</v>
      </c>
      <c r="C93" s="225" t="s">
        <v>274</v>
      </c>
      <c r="D93" s="386" t="s">
        <v>20</v>
      </c>
      <c r="E93" s="298">
        <v>12</v>
      </c>
      <c r="F93" s="298">
        <v>12</v>
      </c>
      <c r="G93" s="298">
        <f t="shared" ref="G93:G97" si="54">(E93/12*8)+(F93/12*4)</f>
        <v>12</v>
      </c>
      <c r="H93" s="298">
        <v>12</v>
      </c>
      <c r="I93" s="298">
        <v>12</v>
      </c>
      <c r="J93" s="295">
        <v>151319.69</v>
      </c>
      <c r="K93" s="295">
        <f t="shared" ref="K93" si="55">(12142.68)</f>
        <v>12142.68</v>
      </c>
      <c r="L93" s="307">
        <v>51302.16</v>
      </c>
      <c r="M93" s="295">
        <f t="shared" si="47"/>
        <v>214764.53</v>
      </c>
      <c r="N93" s="295">
        <f t="shared" si="49"/>
        <v>1815836.28</v>
      </c>
      <c r="O93" s="295">
        <f>G93*K93</f>
        <v>145712.16</v>
      </c>
      <c r="P93" s="298"/>
      <c r="Q93" s="307">
        <f t="shared" si="50"/>
        <v>615625.92000000004</v>
      </c>
      <c r="R93" s="307"/>
      <c r="S93" s="307"/>
      <c r="T93" s="295">
        <f t="shared" si="51"/>
        <v>2577174.36</v>
      </c>
      <c r="U93" s="295">
        <f t="shared" si="52"/>
        <v>2577174.36</v>
      </c>
      <c r="V93" s="295">
        <f t="shared" si="53"/>
        <v>2577174.36</v>
      </c>
    </row>
    <row r="94" spans="1:29" ht="138">
      <c r="A94" s="242"/>
      <c r="B94" s="242" t="s">
        <v>328</v>
      </c>
      <c r="C94" s="225" t="s">
        <v>277</v>
      </c>
      <c r="D94" s="507" t="s">
        <v>20</v>
      </c>
      <c r="E94" s="298">
        <v>9</v>
      </c>
      <c r="F94" s="298">
        <v>9</v>
      </c>
      <c r="G94" s="298">
        <v>0</v>
      </c>
      <c r="H94" s="298">
        <v>9</v>
      </c>
      <c r="I94" s="298">
        <v>9</v>
      </c>
      <c r="J94" s="295">
        <f>244789.02</f>
        <v>244789.02</v>
      </c>
      <c r="K94" s="295">
        <f>(12142.68)</f>
        <v>12142.68</v>
      </c>
      <c r="L94" s="307">
        <v>51302.16</v>
      </c>
      <c r="M94" s="295">
        <f t="shared" ref="M94" si="56">J94+K94+L94</f>
        <v>308233.86</v>
      </c>
      <c r="N94" s="295">
        <f t="shared" ref="N94" si="57">G94*J94</f>
        <v>0</v>
      </c>
      <c r="O94" s="295">
        <f>G94*K94</f>
        <v>0</v>
      </c>
      <c r="P94" s="295"/>
      <c r="Q94" s="307">
        <f t="shared" ref="Q94" si="58">G94*L94</f>
        <v>0</v>
      </c>
      <c r="R94" s="307"/>
      <c r="S94" s="307"/>
      <c r="T94" s="295">
        <f t="shared" ref="T94" si="59">SUM(N94:Q94)</f>
        <v>0</v>
      </c>
      <c r="U94" s="295">
        <f t="shared" ref="U94" si="60">T94</f>
        <v>0</v>
      </c>
      <c r="V94" s="295">
        <f t="shared" ref="V94" si="61">U94</f>
        <v>0</v>
      </c>
    </row>
    <row r="95" spans="1:29" ht="138">
      <c r="A95" s="242"/>
      <c r="B95" s="242" t="s">
        <v>264</v>
      </c>
      <c r="C95" s="225" t="s">
        <v>277</v>
      </c>
      <c r="D95" s="291" t="s">
        <v>20</v>
      </c>
      <c r="E95" s="298">
        <v>9</v>
      </c>
      <c r="F95" s="298">
        <v>9</v>
      </c>
      <c r="G95" s="298">
        <v>10</v>
      </c>
      <c r="H95" s="298">
        <v>0</v>
      </c>
      <c r="I95" s="298">
        <v>0</v>
      </c>
      <c r="J95" s="295">
        <v>188859.74</v>
      </c>
      <c r="K95" s="295">
        <f>(12142.68)</f>
        <v>12142.68</v>
      </c>
      <c r="L95" s="307">
        <v>51302.16</v>
      </c>
      <c r="M95" s="295">
        <f t="shared" si="47"/>
        <v>252304.58</v>
      </c>
      <c r="N95" s="295">
        <f t="shared" si="49"/>
        <v>1888597.4</v>
      </c>
      <c r="O95" s="295">
        <f>G95*K95</f>
        <v>121426.8</v>
      </c>
      <c r="P95" s="295"/>
      <c r="Q95" s="307">
        <f t="shared" si="50"/>
        <v>513021.60000000003</v>
      </c>
      <c r="R95" s="307"/>
      <c r="S95" s="307"/>
      <c r="T95" s="295">
        <f t="shared" si="51"/>
        <v>2523045.7999999998</v>
      </c>
      <c r="U95" s="295">
        <f t="shared" si="52"/>
        <v>2523045.7999999998</v>
      </c>
      <c r="V95" s="295">
        <f t="shared" si="53"/>
        <v>2523045.7999999998</v>
      </c>
    </row>
    <row r="96" spans="1:29" ht="110.4">
      <c r="A96" s="242"/>
      <c r="B96" s="242" t="s">
        <v>264</v>
      </c>
      <c r="C96" s="225" t="s">
        <v>275</v>
      </c>
      <c r="D96" s="291" t="s">
        <v>20</v>
      </c>
      <c r="E96" s="298">
        <v>122</v>
      </c>
      <c r="F96" s="298">
        <v>122</v>
      </c>
      <c r="G96" s="298">
        <v>129</v>
      </c>
      <c r="H96" s="298">
        <v>122</v>
      </c>
      <c r="I96" s="298">
        <v>122</v>
      </c>
      <c r="J96" s="299">
        <f>69653.86</f>
        <v>69653.86</v>
      </c>
      <c r="K96" s="295">
        <f>(12142.68)</f>
        <v>12142.68</v>
      </c>
      <c r="L96" s="307">
        <v>51302.16</v>
      </c>
      <c r="M96" s="295">
        <f t="shared" si="47"/>
        <v>133098.70000000001</v>
      </c>
      <c r="N96" s="295">
        <f t="shared" si="49"/>
        <v>8985347.9399999995</v>
      </c>
      <c r="O96" s="295"/>
      <c r="P96" s="295"/>
      <c r="Q96" s="307">
        <f t="shared" si="50"/>
        <v>6617978.6400000006</v>
      </c>
      <c r="R96" s="307"/>
      <c r="S96" s="307"/>
      <c r="T96" s="295">
        <f t="shared" si="51"/>
        <v>15603326.58</v>
      </c>
      <c r="U96" s="295">
        <f t="shared" si="52"/>
        <v>15603326.58</v>
      </c>
      <c r="V96" s="295">
        <f t="shared" si="53"/>
        <v>15603326.58</v>
      </c>
    </row>
    <row r="97" spans="1:29" ht="69">
      <c r="A97" s="242"/>
      <c r="B97" s="242" t="s">
        <v>264</v>
      </c>
      <c r="C97" s="225" t="s">
        <v>318</v>
      </c>
      <c r="D97" s="291" t="s">
        <v>20</v>
      </c>
      <c r="E97" s="298">
        <v>12</v>
      </c>
      <c r="F97" s="298">
        <v>12</v>
      </c>
      <c r="G97" s="298">
        <f t="shared" si="54"/>
        <v>12</v>
      </c>
      <c r="H97" s="298">
        <v>12</v>
      </c>
      <c r="I97" s="298">
        <v>12</v>
      </c>
      <c r="J97" s="299">
        <v>3982.51</v>
      </c>
      <c r="K97" s="295">
        <f t="shared" ref="K97:K100" si="62">(12142.68)</f>
        <v>12142.68</v>
      </c>
      <c r="L97" s="307"/>
      <c r="M97" s="295"/>
      <c r="N97" s="295">
        <f t="shared" si="49"/>
        <v>47790.12</v>
      </c>
      <c r="O97" s="295"/>
      <c r="P97" s="295"/>
      <c r="Q97" s="307">
        <f t="shared" si="50"/>
        <v>0</v>
      </c>
      <c r="R97" s="307"/>
      <c r="S97" s="307"/>
      <c r="T97" s="295">
        <f t="shared" si="51"/>
        <v>47790.12</v>
      </c>
      <c r="U97" s="295">
        <f t="shared" si="52"/>
        <v>47790.12</v>
      </c>
      <c r="V97" s="295">
        <f t="shared" si="53"/>
        <v>47790.12</v>
      </c>
    </row>
    <row r="98" spans="1:29" ht="69">
      <c r="A98" s="242"/>
      <c r="B98" s="242" t="s">
        <v>328</v>
      </c>
      <c r="C98" s="225" t="s">
        <v>318</v>
      </c>
      <c r="D98" s="507" t="s">
        <v>20</v>
      </c>
      <c r="E98" s="298">
        <v>9</v>
      </c>
      <c r="F98" s="298">
        <v>9</v>
      </c>
      <c r="G98" s="298">
        <v>0</v>
      </c>
      <c r="H98" s="298">
        <v>9</v>
      </c>
      <c r="I98" s="298">
        <v>9</v>
      </c>
      <c r="J98" s="299">
        <f>6637.52</f>
        <v>6637.52</v>
      </c>
      <c r="K98" s="295">
        <f t="shared" si="62"/>
        <v>12142.68</v>
      </c>
      <c r="L98" s="307"/>
      <c r="M98" s="295"/>
      <c r="N98" s="295">
        <f t="shared" ref="N98" si="63">G98*J98</f>
        <v>0</v>
      </c>
      <c r="O98" s="295"/>
      <c r="P98" s="295"/>
      <c r="Q98" s="307">
        <f t="shared" ref="Q98" si="64">G98*L98</f>
        <v>0</v>
      </c>
      <c r="R98" s="307"/>
      <c r="S98" s="307"/>
      <c r="T98" s="295">
        <f t="shared" ref="T98" si="65">SUM(N98:Q98)</f>
        <v>0</v>
      </c>
      <c r="U98" s="295">
        <f t="shared" si="52"/>
        <v>0</v>
      </c>
      <c r="V98" s="295">
        <f t="shared" si="53"/>
        <v>0</v>
      </c>
    </row>
    <row r="99" spans="1:29" ht="69">
      <c r="A99" s="242"/>
      <c r="B99" s="242" t="s">
        <v>264</v>
      </c>
      <c r="C99" s="225" t="s">
        <v>318</v>
      </c>
      <c r="D99" s="386" t="s">
        <v>20</v>
      </c>
      <c r="E99" s="298">
        <v>9</v>
      </c>
      <c r="F99" s="298">
        <v>9</v>
      </c>
      <c r="G99" s="298">
        <v>10</v>
      </c>
      <c r="H99" s="298">
        <v>0</v>
      </c>
      <c r="I99" s="298">
        <v>0</v>
      </c>
      <c r="J99" s="299">
        <v>4978.1400000000003</v>
      </c>
      <c r="K99" s="295">
        <f t="shared" si="62"/>
        <v>12142.68</v>
      </c>
      <c r="L99" s="307"/>
      <c r="M99" s="295"/>
      <c r="N99" s="295">
        <f t="shared" si="49"/>
        <v>49781.4</v>
      </c>
      <c r="O99" s="295"/>
      <c r="P99" s="295"/>
      <c r="Q99" s="307">
        <f t="shared" si="50"/>
        <v>0</v>
      </c>
      <c r="R99" s="307"/>
      <c r="S99" s="307"/>
      <c r="T99" s="295">
        <f t="shared" si="51"/>
        <v>49781.4</v>
      </c>
      <c r="U99" s="295">
        <f t="shared" ref="U99" si="66">T99</f>
        <v>49781.4</v>
      </c>
      <c r="V99" s="295">
        <f t="shared" ref="V99" si="67">U99</f>
        <v>49781.4</v>
      </c>
    </row>
    <row r="100" spans="1:29" ht="69">
      <c r="A100" s="225"/>
      <c r="B100" s="242" t="s">
        <v>279</v>
      </c>
      <c r="C100" s="225" t="s">
        <v>278</v>
      </c>
      <c r="D100" s="291" t="s">
        <v>20</v>
      </c>
      <c r="E100" s="298">
        <v>122</v>
      </c>
      <c r="F100" s="298">
        <v>122</v>
      </c>
      <c r="G100" s="298">
        <v>129</v>
      </c>
      <c r="H100" s="298">
        <v>122</v>
      </c>
      <c r="I100" s="298">
        <v>122</v>
      </c>
      <c r="J100" s="295">
        <f>2213.87</f>
        <v>2213.87</v>
      </c>
      <c r="K100" s="295">
        <f t="shared" si="62"/>
        <v>12142.68</v>
      </c>
      <c r="L100" s="307"/>
      <c r="M100" s="295">
        <f t="shared" si="47"/>
        <v>14356.55</v>
      </c>
      <c r="N100" s="295">
        <f t="shared" si="49"/>
        <v>285589.23</v>
      </c>
      <c r="O100" s="295">
        <f>G100*K100</f>
        <v>1566405.72</v>
      </c>
      <c r="P100" s="295"/>
      <c r="Q100" s="307"/>
      <c r="R100" s="307"/>
      <c r="S100" s="307"/>
      <c r="T100" s="295">
        <f t="shared" si="51"/>
        <v>1851994.95</v>
      </c>
      <c r="U100" s="295">
        <f t="shared" si="52"/>
        <v>1851994.95</v>
      </c>
      <c r="V100" s="295">
        <f t="shared" si="53"/>
        <v>1851994.95</v>
      </c>
    </row>
    <row r="101" spans="1:29" ht="61.5" customHeight="1">
      <c r="A101" s="225" t="s">
        <v>247</v>
      </c>
      <c r="B101" s="242" t="s">
        <v>28</v>
      </c>
      <c r="C101" s="242" t="s">
        <v>219</v>
      </c>
      <c r="D101" s="291" t="s">
        <v>20</v>
      </c>
      <c r="E101" s="298">
        <f>E92+E95+E96+E93</f>
        <v>170</v>
      </c>
      <c r="F101" s="298">
        <f>F92+F95+F96+F93</f>
        <v>170</v>
      </c>
      <c r="G101" s="298">
        <f t="shared" ref="G101:I101" si="68">G92+G95+G96+G93</f>
        <v>169</v>
      </c>
      <c r="H101" s="298">
        <f t="shared" si="68"/>
        <v>161</v>
      </c>
      <c r="I101" s="298">
        <f t="shared" si="68"/>
        <v>161</v>
      </c>
      <c r="J101" s="295"/>
      <c r="K101" s="295"/>
      <c r="L101" s="307">
        <v>21773.119999999999</v>
      </c>
      <c r="M101" s="295">
        <f t="shared" si="47"/>
        <v>21773.119999999999</v>
      </c>
      <c r="N101" s="298">
        <v>0</v>
      </c>
      <c r="O101" s="295">
        <f>G101*K101</f>
        <v>0</v>
      </c>
      <c r="P101" s="298"/>
      <c r="Q101" s="307">
        <f>G101*L101</f>
        <v>3679657.28</v>
      </c>
      <c r="R101" s="307"/>
      <c r="S101" s="307"/>
      <c r="T101" s="295">
        <f>Q101</f>
        <v>3679657.28</v>
      </c>
      <c r="U101" s="295">
        <f t="shared" si="52"/>
        <v>3679657.28</v>
      </c>
      <c r="V101" s="295">
        <f t="shared" si="53"/>
        <v>3679657.28</v>
      </c>
    </row>
    <row r="102" spans="1:29" ht="17.399999999999999" customHeight="1">
      <c r="A102" s="242"/>
      <c r="B102" s="242" t="s">
        <v>28</v>
      </c>
      <c r="C102" s="242" t="s">
        <v>220</v>
      </c>
      <c r="D102" s="291"/>
      <c r="E102" s="298"/>
      <c r="F102" s="298"/>
      <c r="G102" s="298">
        <v>169</v>
      </c>
      <c r="H102" s="298">
        <v>170</v>
      </c>
      <c r="I102" s="298">
        <v>170</v>
      </c>
      <c r="J102" s="295"/>
      <c r="K102" s="295"/>
      <c r="L102" s="307">
        <v>12590.72</v>
      </c>
      <c r="M102" s="295">
        <f t="shared" si="47"/>
        <v>12590.72</v>
      </c>
      <c r="N102" s="298"/>
      <c r="O102" s="295"/>
      <c r="P102" s="298"/>
      <c r="Q102" s="307"/>
      <c r="R102" s="307"/>
      <c r="S102" s="307">
        <f>G102*L102</f>
        <v>2127831.6799999997</v>
      </c>
      <c r="T102" s="295">
        <f>S102</f>
        <v>2127831.6799999997</v>
      </c>
      <c r="U102" s="295">
        <f>S102</f>
        <v>2127831.6799999997</v>
      </c>
      <c r="V102" s="295">
        <f>S102</f>
        <v>2127831.6799999997</v>
      </c>
    </row>
    <row r="103" spans="1:29" ht="20.399999999999999" customHeight="1">
      <c r="A103" s="294" t="s">
        <v>65</v>
      </c>
      <c r="B103" s="294"/>
      <c r="C103" s="294"/>
      <c r="D103" s="300"/>
      <c r="E103" s="301"/>
      <c r="F103" s="301"/>
      <c r="G103" s="301"/>
      <c r="H103" s="301"/>
      <c r="I103" s="301"/>
      <c r="J103" s="297"/>
      <c r="K103" s="295"/>
      <c r="L103" s="308"/>
      <c r="M103" s="295">
        <f t="shared" si="47"/>
        <v>0</v>
      </c>
      <c r="N103" s="308">
        <f>N104+N107</f>
        <v>8365953.5800000001</v>
      </c>
      <c r="O103" s="308">
        <f>O104+O107</f>
        <v>1566405.72</v>
      </c>
      <c r="P103" s="308"/>
      <c r="Q103" s="308">
        <f>Q104+Q107</f>
        <v>9426711.120000001</v>
      </c>
      <c r="R103" s="308"/>
      <c r="S103" s="308">
        <f>S108</f>
        <v>1624202.88</v>
      </c>
      <c r="T103" s="308">
        <f>T104+T107+T108</f>
        <v>20983273.300000001</v>
      </c>
      <c r="U103" s="297">
        <f>U104+U107+U108</f>
        <v>20983273.300000001</v>
      </c>
      <c r="V103" s="297">
        <f>V104+V107+V108</f>
        <v>20983273.300000001</v>
      </c>
      <c r="W103" s="221">
        <v>6916925.5300000003</v>
      </c>
      <c r="X103" s="233">
        <f>W103-Q103</f>
        <v>-2509785.5900000008</v>
      </c>
      <c r="Y103" s="221">
        <f>X103/G107</f>
        <v>-19455.702248062022</v>
      </c>
      <c r="AA103" s="221">
        <v>6466219.5300000003</v>
      </c>
      <c r="AB103" s="233">
        <f>AA103-Q103</f>
        <v>-2960491.5900000008</v>
      </c>
      <c r="AC103" s="221">
        <f>AB103/I107</f>
        <v>-23683.932720000008</v>
      </c>
    </row>
    <row r="104" spans="1:29" ht="85.5" customHeight="1">
      <c r="A104" s="225" t="s">
        <v>246</v>
      </c>
      <c r="B104" s="237" t="s">
        <v>76</v>
      </c>
      <c r="C104" s="237"/>
      <c r="D104" s="291"/>
      <c r="E104" s="298"/>
      <c r="F104" s="298"/>
      <c r="G104" s="298"/>
      <c r="H104" s="298"/>
      <c r="I104" s="298"/>
      <c r="J104" s="295"/>
      <c r="K104" s="295"/>
      <c r="L104" s="307"/>
      <c r="M104" s="295">
        <f t="shared" si="47"/>
        <v>0</v>
      </c>
      <c r="N104" s="295">
        <f>SUM(N105:N108)</f>
        <v>8365953.5800000001</v>
      </c>
      <c r="O104" s="295">
        <f>SUM(O105:O108)</f>
        <v>1566405.72</v>
      </c>
      <c r="P104" s="295"/>
      <c r="Q104" s="307">
        <f>SUM(Q105:Q106)</f>
        <v>6617978.6400000006</v>
      </c>
      <c r="R104" s="307"/>
      <c r="S104" s="307"/>
      <c r="T104" s="295">
        <f>SUM(T105:T106)</f>
        <v>16550337.940000001</v>
      </c>
      <c r="U104" s="295">
        <f>SUM(U105:U106)</f>
        <v>16550337.940000001</v>
      </c>
      <c r="V104" s="295">
        <f>SUM(V105:V106)</f>
        <v>16550337.940000001</v>
      </c>
      <c r="W104" s="221">
        <v>17989534.530000001</v>
      </c>
      <c r="AA104" s="233">
        <f>17989534.53+U108</f>
        <v>19613737.41</v>
      </c>
      <c r="AB104" s="233">
        <f>U103-AA104</f>
        <v>1369535.8900000006</v>
      </c>
    </row>
    <row r="105" spans="1:29" ht="96.6">
      <c r="A105" s="225"/>
      <c r="B105" s="242" t="s">
        <v>266</v>
      </c>
      <c r="C105" s="225" t="s">
        <v>269</v>
      </c>
      <c r="D105" s="291" t="s">
        <v>20</v>
      </c>
      <c r="E105" s="298">
        <v>34</v>
      </c>
      <c r="F105" s="298">
        <v>34</v>
      </c>
      <c r="G105" s="298">
        <v>26</v>
      </c>
      <c r="H105" s="298">
        <v>34</v>
      </c>
      <c r="I105" s="298">
        <v>34</v>
      </c>
      <c r="J105" s="295">
        <f>45831</f>
        <v>45831</v>
      </c>
      <c r="K105" s="295">
        <f>(12142.68)</f>
        <v>12142.68</v>
      </c>
      <c r="L105" s="307">
        <v>51302.16</v>
      </c>
      <c r="M105" s="295">
        <f t="shared" si="47"/>
        <v>109275.84</v>
      </c>
      <c r="N105" s="295">
        <f>G105*J105</f>
        <v>1191606</v>
      </c>
      <c r="O105" s="295">
        <f>G105*K105</f>
        <v>315709.68</v>
      </c>
      <c r="P105" s="305"/>
      <c r="Q105" s="307">
        <f>G105*L105</f>
        <v>1333856.1600000001</v>
      </c>
      <c r="R105" s="307"/>
      <c r="S105" s="307"/>
      <c r="T105" s="295">
        <f>N105+O105+P105+Q105+R105</f>
        <v>2841171.84</v>
      </c>
      <c r="U105" s="295">
        <f t="shared" ref="U105:V107" si="69">T105</f>
        <v>2841171.84</v>
      </c>
      <c r="V105" s="295">
        <f t="shared" si="69"/>
        <v>2841171.84</v>
      </c>
      <c r="W105" s="233"/>
      <c r="X105" s="233">
        <f>W104-U103</f>
        <v>-2993738.7699999996</v>
      </c>
    </row>
    <row r="106" spans="1:29" ht="108" customHeight="1">
      <c r="A106" s="242"/>
      <c r="B106" s="242" t="s">
        <v>264</v>
      </c>
      <c r="C106" s="225" t="s">
        <v>271</v>
      </c>
      <c r="D106" s="291" t="s">
        <v>20</v>
      </c>
      <c r="E106" s="298">
        <v>91</v>
      </c>
      <c r="F106" s="298">
        <v>91</v>
      </c>
      <c r="G106" s="298">
        <v>103</v>
      </c>
      <c r="H106" s="298">
        <v>91</v>
      </c>
      <c r="I106" s="298">
        <v>91</v>
      </c>
      <c r="J106" s="299">
        <v>69653.86</v>
      </c>
      <c r="K106" s="295">
        <f>(12142.68)</f>
        <v>12142.68</v>
      </c>
      <c r="L106" s="307">
        <v>51302.16</v>
      </c>
      <c r="M106" s="295">
        <f t="shared" si="47"/>
        <v>133098.70000000001</v>
      </c>
      <c r="N106" s="295">
        <f>G106*J106</f>
        <v>7174347.5800000001</v>
      </c>
      <c r="O106" s="295">
        <f>G106*K106</f>
        <v>1250696.04</v>
      </c>
      <c r="P106" s="305"/>
      <c r="Q106" s="307">
        <f>G106*L106</f>
        <v>5284122.4800000004</v>
      </c>
      <c r="R106" s="307"/>
      <c r="S106" s="307"/>
      <c r="T106" s="295">
        <f>N106+O106+P106+Q106+R106</f>
        <v>13709166.100000001</v>
      </c>
      <c r="U106" s="295">
        <f t="shared" si="69"/>
        <v>13709166.100000001</v>
      </c>
      <c r="V106" s="295">
        <f t="shared" si="69"/>
        <v>13709166.100000001</v>
      </c>
    </row>
    <row r="107" spans="1:29" ht="55.2">
      <c r="A107" s="225" t="s">
        <v>247</v>
      </c>
      <c r="B107" s="242" t="s">
        <v>28</v>
      </c>
      <c r="C107" s="242" t="s">
        <v>219</v>
      </c>
      <c r="D107" s="291" t="s">
        <v>20</v>
      </c>
      <c r="E107" s="298">
        <f>E105+E106</f>
        <v>125</v>
      </c>
      <c r="F107" s="298">
        <f>F105+F106</f>
        <v>125</v>
      </c>
      <c r="G107" s="298">
        <f>G105+G106</f>
        <v>129</v>
      </c>
      <c r="H107" s="298">
        <f>H105+H106</f>
        <v>125</v>
      </c>
      <c r="I107" s="298">
        <f>I105+I106</f>
        <v>125</v>
      </c>
      <c r="J107" s="295"/>
      <c r="K107" s="295"/>
      <c r="L107" s="307">
        <v>21773.119999999999</v>
      </c>
      <c r="M107" s="295">
        <f t="shared" si="47"/>
        <v>21773.119999999999</v>
      </c>
      <c r="N107" s="298">
        <v>0</v>
      </c>
      <c r="O107" s="295">
        <v>0</v>
      </c>
      <c r="P107" s="298"/>
      <c r="Q107" s="307">
        <f>G107*L107</f>
        <v>2808732.48</v>
      </c>
      <c r="R107" s="307"/>
      <c r="S107" s="307"/>
      <c r="T107" s="295">
        <f>SUM(N107:Q107)</f>
        <v>2808732.48</v>
      </c>
      <c r="U107" s="295">
        <f t="shared" si="69"/>
        <v>2808732.48</v>
      </c>
      <c r="V107" s="295">
        <f t="shared" si="69"/>
        <v>2808732.48</v>
      </c>
    </row>
    <row r="108" spans="1:29">
      <c r="A108" s="242"/>
      <c r="B108" s="242" t="s">
        <v>28</v>
      </c>
      <c r="C108" s="242" t="s">
        <v>220</v>
      </c>
      <c r="D108" s="291"/>
      <c r="E108" s="298"/>
      <c r="F108" s="298"/>
      <c r="G108" s="298">
        <v>129</v>
      </c>
      <c r="H108" s="298">
        <v>125</v>
      </c>
      <c r="I108" s="298">
        <v>125</v>
      </c>
      <c r="J108" s="295"/>
      <c r="K108" s="295"/>
      <c r="L108" s="307">
        <v>12590.72</v>
      </c>
      <c r="M108" s="295">
        <f t="shared" si="47"/>
        <v>12590.72</v>
      </c>
      <c r="N108" s="298"/>
      <c r="O108" s="295"/>
      <c r="P108" s="298"/>
      <c r="Q108" s="307"/>
      <c r="R108" s="307"/>
      <c r="S108" s="307">
        <f>G108*L108</f>
        <v>1624202.88</v>
      </c>
      <c r="T108" s="295">
        <f>S108</f>
        <v>1624202.88</v>
      </c>
      <c r="U108" s="295">
        <f>S108</f>
        <v>1624202.88</v>
      </c>
      <c r="V108" s="295">
        <f>S108</f>
        <v>1624202.88</v>
      </c>
    </row>
    <row r="109" spans="1:29" ht="30" customHeight="1">
      <c r="A109" s="294" t="s">
        <v>68</v>
      </c>
      <c r="B109" s="294"/>
      <c r="C109" s="294"/>
      <c r="D109" s="300"/>
      <c r="E109" s="301"/>
      <c r="F109" s="301"/>
      <c r="G109" s="301"/>
      <c r="H109" s="301"/>
      <c r="I109" s="301"/>
      <c r="J109" s="297"/>
      <c r="K109" s="295"/>
      <c r="L109" s="308"/>
      <c r="M109" s="295">
        <f t="shared" si="47"/>
        <v>0</v>
      </c>
      <c r="N109" s="308">
        <f>N110+N116</f>
        <v>8648198.4600000009</v>
      </c>
      <c r="O109" s="308">
        <f>O110+O116</f>
        <v>1590691.08</v>
      </c>
      <c r="P109" s="313"/>
      <c r="Q109" s="308">
        <f>Q110+Q116</f>
        <v>9572861.6799999997</v>
      </c>
      <c r="R109" s="308"/>
      <c r="S109" s="308">
        <f>S117</f>
        <v>1649384.3199999998</v>
      </c>
      <c r="T109" s="308">
        <f>T110+T116+T117</f>
        <v>21461135.539999999</v>
      </c>
      <c r="U109" s="297">
        <f>U110+U116+U117</f>
        <v>21461135.539999999</v>
      </c>
      <c r="V109" s="297">
        <f>V110+V116+V117</f>
        <v>21461135.539999999</v>
      </c>
      <c r="W109" s="221">
        <v>7637084.2800000003</v>
      </c>
      <c r="X109" s="233">
        <f>W109-Q109</f>
        <v>-1935777.3999999994</v>
      </c>
      <c r="Y109" s="221">
        <f>X109/G116</f>
        <v>-14776.926717557248</v>
      </c>
      <c r="AA109" s="221">
        <v>7421318.2800000003</v>
      </c>
      <c r="AB109" s="233">
        <f>AA109-Q109</f>
        <v>-2151543.3999999994</v>
      </c>
      <c r="AC109" s="221">
        <f>AB109/I116</f>
        <v>-16808.932812499996</v>
      </c>
    </row>
    <row r="110" spans="1:29" ht="94.95" customHeight="1">
      <c r="A110" s="225" t="s">
        <v>246</v>
      </c>
      <c r="B110" s="237" t="s">
        <v>76</v>
      </c>
      <c r="C110" s="237"/>
      <c r="D110" s="291"/>
      <c r="E110" s="298"/>
      <c r="F110" s="298"/>
      <c r="G110" s="298"/>
      <c r="H110" s="298"/>
      <c r="I110" s="298"/>
      <c r="J110" s="295"/>
      <c r="K110" s="295"/>
      <c r="L110" s="307"/>
      <c r="M110" s="295">
        <f t="shared" si="47"/>
        <v>0</v>
      </c>
      <c r="N110" s="295">
        <f>SUM(N111:N117)</f>
        <v>8648198.4600000009</v>
      </c>
      <c r="O110" s="295">
        <f>SUM(O111:O117)</f>
        <v>1590691.08</v>
      </c>
      <c r="P110" s="298"/>
      <c r="Q110" s="307">
        <f>SUM(Q111:Q113)</f>
        <v>6720582.9600000009</v>
      </c>
      <c r="R110" s="307"/>
      <c r="S110" s="307"/>
      <c r="T110" s="295">
        <f>SUM(T111:T115)</f>
        <v>16959472.5</v>
      </c>
      <c r="U110" s="295">
        <f>SUM(U111:U115)</f>
        <v>16959472.5</v>
      </c>
      <c r="V110" s="295">
        <f>SUM(V111:V115)</f>
        <v>16959472.5</v>
      </c>
      <c r="W110" s="233">
        <v>18749103.280000001</v>
      </c>
      <c r="Y110" s="233"/>
      <c r="AA110" s="233">
        <f>18749103.28+U117</f>
        <v>20398487.600000001</v>
      </c>
      <c r="AB110" s="233">
        <f>U109-AA110</f>
        <v>1062647.9399999976</v>
      </c>
    </row>
    <row r="111" spans="1:29" ht="49.5" customHeight="1">
      <c r="A111" s="225"/>
      <c r="B111" s="242" t="s">
        <v>266</v>
      </c>
      <c r="C111" s="574" t="s">
        <v>269</v>
      </c>
      <c r="D111" s="291" t="s">
        <v>20</v>
      </c>
      <c r="E111" s="298">
        <v>37</v>
      </c>
      <c r="F111" s="298">
        <v>37</v>
      </c>
      <c r="G111" s="298">
        <v>20</v>
      </c>
      <c r="H111" s="298">
        <v>37</v>
      </c>
      <c r="I111" s="298">
        <v>37</v>
      </c>
      <c r="J111" s="295">
        <f>45831</f>
        <v>45831</v>
      </c>
      <c r="K111" s="295">
        <f>(12142.68)</f>
        <v>12142.68</v>
      </c>
      <c r="L111" s="307">
        <v>51302.16</v>
      </c>
      <c r="M111" s="295">
        <f t="shared" si="47"/>
        <v>109275.84</v>
      </c>
      <c r="N111" s="295">
        <f>G111*J111</f>
        <v>916620</v>
      </c>
      <c r="O111" s="295">
        <f>G111*K111</f>
        <v>242853.6</v>
      </c>
      <c r="P111" s="298"/>
      <c r="Q111" s="307">
        <f>G111*L111</f>
        <v>1026043.2000000001</v>
      </c>
      <c r="R111" s="307"/>
      <c r="S111" s="307"/>
      <c r="T111" s="295">
        <f>SUM(N111:Q111)</f>
        <v>2185516.8000000003</v>
      </c>
      <c r="U111" s="295">
        <f t="shared" ref="U111:V113" si="70">T111</f>
        <v>2185516.8000000003</v>
      </c>
      <c r="V111" s="295">
        <f t="shared" si="70"/>
        <v>2185516.8000000003</v>
      </c>
    </row>
    <row r="112" spans="1:29" ht="54.75" customHeight="1">
      <c r="A112" s="242"/>
      <c r="B112" s="242" t="s">
        <v>264</v>
      </c>
      <c r="C112" s="576"/>
      <c r="D112" s="291" t="s">
        <v>20</v>
      </c>
      <c r="E112" s="298">
        <v>0</v>
      </c>
      <c r="F112" s="298">
        <v>0</v>
      </c>
      <c r="G112" s="298">
        <f t="shared" ref="G112" si="71">(E112/12*8)+(F112/12*4)</f>
        <v>0</v>
      </c>
      <c r="H112" s="298">
        <v>0</v>
      </c>
      <c r="I112" s="298">
        <v>0</v>
      </c>
      <c r="J112" s="295">
        <f>36323.51</f>
        <v>36323.51</v>
      </c>
      <c r="K112" s="295">
        <f>(12142.68)</f>
        <v>12142.68</v>
      </c>
      <c r="L112" s="307">
        <v>51302.16</v>
      </c>
      <c r="M112" s="295">
        <f t="shared" si="47"/>
        <v>99768.35</v>
      </c>
      <c r="N112" s="295">
        <f>G112*J112</f>
        <v>0</v>
      </c>
      <c r="O112" s="295">
        <f>G112*K112</f>
        <v>0</v>
      </c>
      <c r="P112" s="298"/>
      <c r="Q112" s="307">
        <f>G112*L112</f>
        <v>0</v>
      </c>
      <c r="R112" s="307"/>
      <c r="S112" s="307"/>
      <c r="T112" s="295">
        <f>SUM(N112:Q112)</f>
        <v>0</v>
      </c>
      <c r="U112" s="295">
        <f t="shared" si="70"/>
        <v>0</v>
      </c>
      <c r="V112" s="295">
        <f t="shared" si="70"/>
        <v>0</v>
      </c>
      <c r="X112" s="233">
        <f>W110-U109</f>
        <v>-2712032.2599999979</v>
      </c>
    </row>
    <row r="113" spans="1:29" ht="133.5" customHeight="1">
      <c r="A113" s="242"/>
      <c r="B113" s="242" t="s">
        <v>264</v>
      </c>
      <c r="C113" s="225" t="s">
        <v>268</v>
      </c>
      <c r="D113" s="291" t="s">
        <v>20</v>
      </c>
      <c r="E113" s="298">
        <v>91</v>
      </c>
      <c r="F113" s="298">
        <v>91</v>
      </c>
      <c r="G113" s="298">
        <v>111</v>
      </c>
      <c r="H113" s="298">
        <v>91</v>
      </c>
      <c r="I113" s="298">
        <v>91</v>
      </c>
      <c r="J113" s="299">
        <f>69653.86</f>
        <v>69653.86</v>
      </c>
      <c r="K113" s="295">
        <f>(12142.68)</f>
        <v>12142.68</v>
      </c>
      <c r="L113" s="307">
        <v>51302.16</v>
      </c>
      <c r="M113" s="295">
        <f t="shared" si="47"/>
        <v>133098.70000000001</v>
      </c>
      <c r="N113" s="295">
        <f>G113*J113</f>
        <v>7731578.46</v>
      </c>
      <c r="O113" s="295">
        <f>G113*K113</f>
        <v>1347837.48</v>
      </c>
      <c r="P113" s="298"/>
      <c r="Q113" s="307">
        <f>G113*L113</f>
        <v>5694539.7600000007</v>
      </c>
      <c r="R113" s="307"/>
      <c r="S113" s="307"/>
      <c r="T113" s="295">
        <f>SUM(N113:Q113)</f>
        <v>14773955.699999999</v>
      </c>
      <c r="U113" s="295">
        <f t="shared" si="70"/>
        <v>14773955.699999999</v>
      </c>
      <c r="V113" s="295">
        <f t="shared" si="70"/>
        <v>14773955.699999999</v>
      </c>
    </row>
    <row r="114" spans="1:29" ht="45.75" hidden="1" customHeight="1">
      <c r="A114" s="242"/>
      <c r="B114" s="237" t="s">
        <v>253</v>
      </c>
      <c r="C114" s="242" t="s">
        <v>226</v>
      </c>
      <c r="D114" s="291"/>
      <c r="E114" s="298"/>
      <c r="F114" s="298"/>
      <c r="G114" s="298"/>
      <c r="H114" s="298"/>
      <c r="I114" s="298"/>
      <c r="J114" s="295"/>
      <c r="K114" s="295">
        <f t="shared" ref="K114:K115" si="72">(12142.68*2.133649)</f>
        <v>25908.217039320003</v>
      </c>
      <c r="L114" s="307"/>
      <c r="M114" s="295">
        <f t="shared" si="47"/>
        <v>25908.217039320003</v>
      </c>
      <c r="N114" s="298"/>
      <c r="O114" s="295"/>
      <c r="P114" s="298"/>
      <c r="Q114" s="307"/>
      <c r="R114" s="307"/>
      <c r="S114" s="307"/>
      <c r="T114" s="295">
        <f>N114</f>
        <v>0</v>
      </c>
      <c r="U114" s="295">
        <f t="shared" ref="U114:V116" si="73">T114</f>
        <v>0</v>
      </c>
      <c r="V114" s="295">
        <f t="shared" si="73"/>
        <v>0</v>
      </c>
    </row>
    <row r="115" spans="1:29" hidden="1">
      <c r="A115" s="242"/>
      <c r="B115" s="237" t="s">
        <v>256</v>
      </c>
      <c r="C115" s="242"/>
      <c r="D115" s="291"/>
      <c r="E115" s="298"/>
      <c r="F115" s="298"/>
      <c r="G115" s="298"/>
      <c r="H115" s="298"/>
      <c r="I115" s="298"/>
      <c r="J115" s="295"/>
      <c r="K115" s="295">
        <f t="shared" si="72"/>
        <v>25908.217039320003</v>
      </c>
      <c r="L115" s="307"/>
      <c r="M115" s="295">
        <f t="shared" si="47"/>
        <v>25908.217039320003</v>
      </c>
      <c r="N115" s="298"/>
      <c r="O115" s="295"/>
      <c r="P115" s="298"/>
      <c r="Q115" s="307"/>
      <c r="R115" s="307"/>
      <c r="S115" s="307"/>
      <c r="T115" s="295">
        <f>O115</f>
        <v>0</v>
      </c>
      <c r="U115" s="295">
        <f>T115</f>
        <v>0</v>
      </c>
      <c r="V115" s="295">
        <f>U115</f>
        <v>0</v>
      </c>
    </row>
    <row r="116" spans="1:29" ht="64.5" customHeight="1">
      <c r="A116" s="225" t="s">
        <v>247</v>
      </c>
      <c r="B116" s="242" t="s">
        <v>28</v>
      </c>
      <c r="C116" s="242" t="s">
        <v>219</v>
      </c>
      <c r="D116" s="291" t="s">
        <v>20</v>
      </c>
      <c r="E116" s="298">
        <f>E113+E112+E111</f>
        <v>128</v>
      </c>
      <c r="F116" s="298">
        <f>F113+F112+F111</f>
        <v>128</v>
      </c>
      <c r="G116" s="298">
        <f>G113+G112+G111</f>
        <v>131</v>
      </c>
      <c r="H116" s="298">
        <f>H113+H112+H111</f>
        <v>128</v>
      </c>
      <c r="I116" s="298">
        <f>I113+I112+I111</f>
        <v>128</v>
      </c>
      <c r="J116" s="295"/>
      <c r="K116" s="295"/>
      <c r="L116" s="307">
        <v>21773.119999999999</v>
      </c>
      <c r="M116" s="295">
        <f t="shared" si="47"/>
        <v>21773.119999999999</v>
      </c>
      <c r="N116" s="298">
        <f>G116*J116</f>
        <v>0</v>
      </c>
      <c r="O116" s="295">
        <f>G116*K116</f>
        <v>0</v>
      </c>
      <c r="P116" s="298"/>
      <c r="Q116" s="307">
        <f>G116*L116</f>
        <v>2852278.7199999997</v>
      </c>
      <c r="R116" s="307"/>
      <c r="S116" s="307"/>
      <c r="T116" s="295">
        <f>SUM(N116:Q116)</f>
        <v>2852278.7199999997</v>
      </c>
      <c r="U116" s="295">
        <f t="shared" si="73"/>
        <v>2852278.7199999997</v>
      </c>
      <c r="V116" s="295">
        <f t="shared" si="73"/>
        <v>2852278.7199999997</v>
      </c>
    </row>
    <row r="117" spans="1:29" ht="20.399999999999999" customHeight="1">
      <c r="A117" s="242"/>
      <c r="B117" s="242" t="s">
        <v>28</v>
      </c>
      <c r="C117" s="242" t="s">
        <v>220</v>
      </c>
      <c r="D117" s="291"/>
      <c r="E117" s="298"/>
      <c r="F117" s="298"/>
      <c r="G117" s="298">
        <v>131</v>
      </c>
      <c r="H117" s="298">
        <v>128</v>
      </c>
      <c r="I117" s="298">
        <v>128</v>
      </c>
      <c r="J117" s="295"/>
      <c r="K117" s="295"/>
      <c r="L117" s="307">
        <v>12590.72</v>
      </c>
      <c r="M117" s="295">
        <f t="shared" si="47"/>
        <v>12590.72</v>
      </c>
      <c r="N117" s="298"/>
      <c r="O117" s="295"/>
      <c r="P117" s="298"/>
      <c r="Q117" s="307"/>
      <c r="R117" s="307"/>
      <c r="S117" s="307">
        <f>G117*L117</f>
        <v>1649384.3199999998</v>
      </c>
      <c r="T117" s="295">
        <f>S117</f>
        <v>1649384.3199999998</v>
      </c>
      <c r="U117" s="295">
        <f>S117</f>
        <v>1649384.3199999998</v>
      </c>
      <c r="V117" s="295">
        <f>S117</f>
        <v>1649384.3199999998</v>
      </c>
    </row>
    <row r="118" spans="1:29" s="247" customFormat="1" ht="25.95" customHeight="1">
      <c r="A118" s="294" t="s">
        <v>71</v>
      </c>
      <c r="B118" s="294"/>
      <c r="C118" s="294"/>
      <c r="D118" s="300"/>
      <c r="E118" s="301"/>
      <c r="F118" s="301"/>
      <c r="G118" s="301"/>
      <c r="H118" s="301"/>
      <c r="I118" s="301"/>
      <c r="J118" s="297"/>
      <c r="K118" s="295"/>
      <c r="L118" s="308"/>
      <c r="M118" s="295">
        <f t="shared" si="47"/>
        <v>0</v>
      </c>
      <c r="N118" s="308">
        <f>N119+N125</f>
        <v>15752892.18</v>
      </c>
      <c r="O118" s="308">
        <f>O119+O125</f>
        <v>2829244.44</v>
      </c>
      <c r="P118" s="308"/>
      <c r="Q118" s="308">
        <f>Q119+Q125+Q122</f>
        <v>17026540.239999998</v>
      </c>
      <c r="R118" s="308"/>
      <c r="S118" s="308">
        <f>S126</f>
        <v>2933637.76</v>
      </c>
      <c r="T118" s="308">
        <f>T119+T125+T126</f>
        <v>38542314.619999997</v>
      </c>
      <c r="U118" s="297">
        <f>U119+U125+U126</f>
        <v>38564087.740000002</v>
      </c>
      <c r="V118" s="297">
        <f>V119+V125+V126</f>
        <v>38564087.740000002</v>
      </c>
      <c r="W118" s="247">
        <v>12135022</v>
      </c>
      <c r="X118" s="248">
        <f>W118-Q118</f>
        <v>-4891518.2399999984</v>
      </c>
      <c r="Y118" s="247">
        <f>X118/G125</f>
        <v>-20993.640515021452</v>
      </c>
      <c r="AA118" s="247">
        <v>12524345</v>
      </c>
      <c r="AB118" s="248">
        <f>AA118-Q118</f>
        <v>-4502195.2399999984</v>
      </c>
      <c r="AC118" s="247">
        <f>AB118/I125</f>
        <v>-19240.150598290591</v>
      </c>
    </row>
    <row r="119" spans="1:29" ht="85.5" customHeight="1">
      <c r="A119" s="225" t="s">
        <v>246</v>
      </c>
      <c r="B119" s="237" t="s">
        <v>76</v>
      </c>
      <c r="C119" s="237"/>
      <c r="D119" s="291"/>
      <c r="E119" s="298"/>
      <c r="F119" s="298"/>
      <c r="G119" s="298"/>
      <c r="H119" s="298"/>
      <c r="I119" s="298"/>
      <c r="J119" s="295"/>
      <c r="K119" s="295"/>
      <c r="L119" s="307"/>
      <c r="M119" s="295">
        <f t="shared" si="47"/>
        <v>0</v>
      </c>
      <c r="N119" s="295">
        <f>SUM(N120:N126)</f>
        <v>15752892.18</v>
      </c>
      <c r="O119" s="295">
        <f>SUM(O120:O126)</f>
        <v>2829244.44</v>
      </c>
      <c r="P119" s="295"/>
      <c r="Q119" s="307">
        <f>SUM(Q120:Q121)</f>
        <v>11953403.279999999</v>
      </c>
      <c r="R119" s="307"/>
      <c r="S119" s="307"/>
      <c r="T119" s="295">
        <f>SUM(T120:T124)</f>
        <v>30535539.900000002</v>
      </c>
      <c r="U119" s="295">
        <f>SUM(U120:U124)</f>
        <v>30535539.900000002</v>
      </c>
      <c r="V119" s="295">
        <f>SUM(V120:V124)</f>
        <v>30535539.900000002</v>
      </c>
      <c r="W119" s="233">
        <v>33911273</v>
      </c>
      <c r="AA119" s="233">
        <f>33911273+U126</f>
        <v>36844910.759999998</v>
      </c>
      <c r="AB119" s="233">
        <f>U118-AA119</f>
        <v>1719176.9800000042</v>
      </c>
    </row>
    <row r="120" spans="1:29" ht="96.6">
      <c r="A120" s="225"/>
      <c r="B120" s="242" t="s">
        <v>266</v>
      </c>
      <c r="C120" s="225" t="s">
        <v>273</v>
      </c>
      <c r="D120" s="291" t="s">
        <v>20</v>
      </c>
      <c r="E120" s="298">
        <v>33</v>
      </c>
      <c r="F120" s="298">
        <v>33</v>
      </c>
      <c r="G120" s="298">
        <v>20</v>
      </c>
      <c r="H120" s="298">
        <v>33</v>
      </c>
      <c r="I120" s="298">
        <v>33</v>
      </c>
      <c r="J120" s="295">
        <f>45831</f>
        <v>45831</v>
      </c>
      <c r="K120" s="295">
        <f>(12142.68)</f>
        <v>12142.68</v>
      </c>
      <c r="L120" s="307">
        <v>51302.16</v>
      </c>
      <c r="M120" s="295">
        <f t="shared" si="47"/>
        <v>109275.84</v>
      </c>
      <c r="N120" s="295">
        <f>G120*J120</f>
        <v>916620</v>
      </c>
      <c r="O120" s="295">
        <f>G120*K120</f>
        <v>242853.6</v>
      </c>
      <c r="P120" s="298"/>
      <c r="Q120" s="307">
        <f>G120*L120</f>
        <v>1026043.2000000001</v>
      </c>
      <c r="R120" s="307"/>
      <c r="S120" s="307"/>
      <c r="T120" s="295">
        <f t="shared" ref="T120:T125" si="74">SUM(N120:Q120)</f>
        <v>2185516.8000000003</v>
      </c>
      <c r="U120" s="295">
        <f>T120</f>
        <v>2185516.8000000003</v>
      </c>
      <c r="V120" s="295">
        <f t="shared" ref="V120:V125" si="75">U120</f>
        <v>2185516.8000000003</v>
      </c>
      <c r="X120" s="233">
        <f>W119-U118</f>
        <v>-4652814.7400000021</v>
      </c>
    </row>
    <row r="121" spans="1:29" ht="138.75" customHeight="1">
      <c r="A121" s="242"/>
      <c r="B121" s="242" t="s">
        <v>264</v>
      </c>
      <c r="C121" s="225" t="s">
        <v>275</v>
      </c>
      <c r="D121" s="291" t="s">
        <v>20</v>
      </c>
      <c r="E121" s="298">
        <v>201</v>
      </c>
      <c r="F121" s="298">
        <v>201</v>
      </c>
      <c r="G121" s="298">
        <v>213</v>
      </c>
      <c r="H121" s="298">
        <v>201</v>
      </c>
      <c r="I121" s="298">
        <v>201</v>
      </c>
      <c r="J121" s="299">
        <v>69653.86</v>
      </c>
      <c r="K121" s="295">
        <f t="shared" ref="K121:K123" si="76">(12142.68)</f>
        <v>12142.68</v>
      </c>
      <c r="L121" s="307">
        <v>51302.16</v>
      </c>
      <c r="M121" s="295">
        <f t="shared" si="47"/>
        <v>133098.70000000001</v>
      </c>
      <c r="N121" s="295">
        <f>G121*J121</f>
        <v>14836272.18</v>
      </c>
      <c r="O121" s="295">
        <f>G121*K121</f>
        <v>2586390.84</v>
      </c>
      <c r="P121" s="298"/>
      <c r="Q121" s="307">
        <f>G121*L121</f>
        <v>10927360.08</v>
      </c>
      <c r="R121" s="307"/>
      <c r="S121" s="307"/>
      <c r="T121" s="295">
        <f t="shared" si="74"/>
        <v>28350023.100000001</v>
      </c>
      <c r="U121" s="295">
        <f>T121</f>
        <v>28350023.100000001</v>
      </c>
      <c r="V121" s="295">
        <f t="shared" si="75"/>
        <v>28350023.100000001</v>
      </c>
    </row>
    <row r="122" spans="1:29" s="222" customFormat="1" hidden="1">
      <c r="A122" s="291"/>
      <c r="B122" s="300" t="s">
        <v>258</v>
      </c>
      <c r="C122" s="291" t="s">
        <v>219</v>
      </c>
      <c r="D122" s="291"/>
      <c r="E122" s="298"/>
      <c r="F122" s="298"/>
      <c r="G122" s="298"/>
      <c r="H122" s="298"/>
      <c r="I122" s="298"/>
      <c r="J122" s="295"/>
      <c r="K122" s="295">
        <f t="shared" si="76"/>
        <v>12142.68</v>
      </c>
      <c r="L122" s="307"/>
      <c r="M122" s="295">
        <f t="shared" si="47"/>
        <v>12142.68</v>
      </c>
      <c r="N122" s="298"/>
      <c r="O122" s="295"/>
      <c r="P122" s="298"/>
      <c r="Q122" s="307"/>
      <c r="R122" s="307"/>
      <c r="S122" s="307"/>
      <c r="T122" s="295">
        <f>Q122</f>
        <v>0</v>
      </c>
      <c r="U122" s="295">
        <f>T122</f>
        <v>0</v>
      </c>
      <c r="V122" s="295">
        <f t="shared" si="75"/>
        <v>0</v>
      </c>
    </row>
    <row r="123" spans="1:29" ht="43.5" hidden="1" customHeight="1">
      <c r="A123" s="242"/>
      <c r="B123" s="237" t="s">
        <v>253</v>
      </c>
      <c r="C123" s="242" t="s">
        <v>226</v>
      </c>
      <c r="D123" s="291"/>
      <c r="E123" s="298"/>
      <c r="F123" s="298"/>
      <c r="G123" s="298"/>
      <c r="H123" s="298"/>
      <c r="I123" s="298"/>
      <c r="J123" s="295"/>
      <c r="K123" s="295">
        <f t="shared" si="76"/>
        <v>12142.68</v>
      </c>
      <c r="L123" s="307"/>
      <c r="M123" s="295">
        <f t="shared" si="47"/>
        <v>12142.68</v>
      </c>
      <c r="N123" s="298"/>
      <c r="O123" s="295"/>
      <c r="P123" s="298"/>
      <c r="Q123" s="307"/>
      <c r="R123" s="307"/>
      <c r="S123" s="307"/>
      <c r="T123" s="295">
        <f>N123</f>
        <v>0</v>
      </c>
      <c r="U123" s="295">
        <f>T123</f>
        <v>0</v>
      </c>
      <c r="V123" s="295">
        <f t="shared" si="75"/>
        <v>0</v>
      </c>
    </row>
    <row r="124" spans="1:29" ht="18.75" hidden="1" customHeight="1">
      <c r="A124" s="242"/>
      <c r="B124" s="237" t="s">
        <v>256</v>
      </c>
      <c r="C124" s="242"/>
      <c r="D124" s="291"/>
      <c r="E124" s="298"/>
      <c r="F124" s="298"/>
      <c r="G124" s="298"/>
      <c r="H124" s="298"/>
      <c r="I124" s="298"/>
      <c r="J124" s="295"/>
      <c r="K124" s="295">
        <f t="shared" ref="K124" si="77">(12142.68*1.802017)+6356.14+938.636+149.97-0.09377-158.3333</f>
        <v>29167.634715560001</v>
      </c>
      <c r="L124" s="307"/>
      <c r="M124" s="295">
        <f t="shared" si="47"/>
        <v>29167.634715560001</v>
      </c>
      <c r="N124" s="298"/>
      <c r="O124" s="295"/>
      <c r="P124" s="298"/>
      <c r="Q124" s="307"/>
      <c r="R124" s="307"/>
      <c r="S124" s="307"/>
      <c r="T124" s="295">
        <f>O124</f>
        <v>0</v>
      </c>
      <c r="U124" s="295">
        <f>T124</f>
        <v>0</v>
      </c>
      <c r="V124" s="295">
        <f t="shared" si="75"/>
        <v>0</v>
      </c>
    </row>
    <row r="125" spans="1:29" ht="62.25" customHeight="1">
      <c r="A125" s="225" t="s">
        <v>247</v>
      </c>
      <c r="B125" s="242" t="s">
        <v>28</v>
      </c>
      <c r="C125" s="242" t="s">
        <v>219</v>
      </c>
      <c r="D125" s="291" t="s">
        <v>20</v>
      </c>
      <c r="E125" s="298">
        <f>E120+E121</f>
        <v>234</v>
      </c>
      <c r="F125" s="298">
        <f t="shared" ref="F125:G125" si="78">F120+F121</f>
        <v>234</v>
      </c>
      <c r="G125" s="298">
        <f t="shared" si="78"/>
        <v>233</v>
      </c>
      <c r="H125" s="298">
        <f>H120+H121</f>
        <v>234</v>
      </c>
      <c r="I125" s="298">
        <f>I120+I121</f>
        <v>234</v>
      </c>
      <c r="J125" s="295"/>
      <c r="K125" s="295"/>
      <c r="L125" s="307">
        <v>21773.119999999999</v>
      </c>
      <c r="M125" s="295">
        <f t="shared" si="47"/>
        <v>21773.119999999999</v>
      </c>
      <c r="N125" s="298"/>
      <c r="O125" s="295">
        <f>G125*K125</f>
        <v>0</v>
      </c>
      <c r="P125" s="298"/>
      <c r="Q125" s="307">
        <f>G125*L125</f>
        <v>5073136.96</v>
      </c>
      <c r="R125" s="307"/>
      <c r="S125" s="307"/>
      <c r="T125" s="295">
        <f t="shared" si="74"/>
        <v>5073136.96</v>
      </c>
      <c r="U125" s="295">
        <f>H125*M125</f>
        <v>5094910.08</v>
      </c>
      <c r="V125" s="295">
        <f t="shared" si="75"/>
        <v>5094910.08</v>
      </c>
    </row>
    <row r="126" spans="1:29" ht="21.6" customHeight="1">
      <c r="A126" s="242"/>
      <c r="B126" s="242" t="s">
        <v>28</v>
      </c>
      <c r="C126" s="242" t="s">
        <v>220</v>
      </c>
      <c r="D126" s="291"/>
      <c r="E126" s="298"/>
      <c r="F126" s="298"/>
      <c r="G126" s="298">
        <v>233</v>
      </c>
      <c r="H126" s="298">
        <v>234</v>
      </c>
      <c r="I126" s="298">
        <v>234</v>
      </c>
      <c r="J126" s="295"/>
      <c r="K126" s="295"/>
      <c r="L126" s="307">
        <v>12590.72</v>
      </c>
      <c r="M126" s="295">
        <f t="shared" si="47"/>
        <v>12590.72</v>
      </c>
      <c r="N126" s="298"/>
      <c r="O126" s="295"/>
      <c r="P126" s="298"/>
      <c r="Q126" s="307"/>
      <c r="R126" s="307"/>
      <c r="S126" s="307">
        <f>G126*L126</f>
        <v>2933637.76</v>
      </c>
      <c r="T126" s="295">
        <f>S126</f>
        <v>2933637.76</v>
      </c>
      <c r="U126" s="295">
        <f>S126</f>
        <v>2933637.76</v>
      </c>
      <c r="V126" s="295">
        <f>S126</f>
        <v>2933637.76</v>
      </c>
    </row>
    <row r="127" spans="1:29" ht="22.2" customHeight="1">
      <c r="A127" s="570" t="s">
        <v>232</v>
      </c>
      <c r="B127" s="571"/>
      <c r="C127" s="571"/>
      <c r="D127" s="571"/>
      <c r="E127" s="571"/>
      <c r="F127" s="571"/>
      <c r="G127" s="571"/>
      <c r="H127" s="571"/>
      <c r="I127" s="571"/>
      <c r="J127" s="571"/>
      <c r="K127" s="571"/>
      <c r="L127" s="571"/>
      <c r="M127" s="572"/>
      <c r="N127" s="511">
        <f>N13+N25+N36+N47+N58+N67+N79+N90+N103+N109+N118</f>
        <v>106606605.5</v>
      </c>
      <c r="O127" s="511">
        <f>O13+O25+O36+O47+O58+O67+O79+O90+O103+O109+O118</f>
        <v>18080450.52</v>
      </c>
      <c r="P127" s="297">
        <f>P13+P25+P36+P47+P58+P67+P79+P90+P103+P109+P118+1</f>
        <v>1</v>
      </c>
      <c r="Q127" s="511">
        <f>Q13+Q25+Q36+Q47+Q58+Q67+Q79+Q90+Q103+Q109+Q118</f>
        <v>111504132.3</v>
      </c>
      <c r="R127" s="511">
        <f>R13+R25+R36+R47+R58+R67+R79+R90+R103+R109+R118+1</f>
        <v>1</v>
      </c>
      <c r="S127" s="511">
        <f>S13+S25+S36+S47+S58+S67+S79+S90+S103+S109+S118</f>
        <v>18747582.079999998</v>
      </c>
      <c r="T127" s="511">
        <f>T13+T25+T36+T47+T58+T67+T79+T90+T103+T109+T118</f>
        <v>254938770.39999998</v>
      </c>
      <c r="U127" s="297">
        <f>U13+U25+U36+U47+U58+U67+U79+U90+U103+U109+U118</f>
        <v>245612145.40000004</v>
      </c>
      <c r="V127" s="297">
        <f>V13+V25+V36+V47+V58+V67+V79+V90+V103+V109+V118</f>
        <v>245612145.40000004</v>
      </c>
      <c r="W127" s="233"/>
    </row>
    <row r="128" spans="1:29">
      <c r="A128" s="221" t="s">
        <v>403</v>
      </c>
      <c r="C128" s="249"/>
      <c r="D128" s="250"/>
      <c r="E128" s="250"/>
      <c r="F128" s="250"/>
      <c r="G128" s="250"/>
      <c r="H128" s="250"/>
      <c r="I128" s="250"/>
      <c r="J128" s="250"/>
      <c r="K128" s="250"/>
      <c r="L128" s="249"/>
      <c r="M128" s="250"/>
      <c r="N128" s="251"/>
      <c r="O128" s="251"/>
      <c r="P128" s="251"/>
      <c r="Q128" s="309">
        <f>Q21+Q34+Q45+Q56+Q65+Q77+Q88+Q101+Q107+Q116+Q125</f>
        <v>32420175.68</v>
      </c>
      <c r="R128" s="309"/>
      <c r="S128" s="309"/>
      <c r="T128" s="251">
        <f>T14+T26+T37+T48+T59+T68+T80+T91+T104+T110+T119</f>
        <v>203771012.64000002</v>
      </c>
      <c r="U128" s="250"/>
      <c r="V128" s="251"/>
    </row>
    <row r="129" spans="1:26">
      <c r="A129" s="221" t="s">
        <v>402</v>
      </c>
      <c r="N129" s="274"/>
      <c r="P129" s="252"/>
      <c r="Q129" s="233"/>
      <c r="U129" s="252"/>
      <c r="V129" s="251"/>
    </row>
    <row r="130" spans="1:26">
      <c r="N130" s="250"/>
      <c r="Q130" s="233"/>
      <c r="S130" s="233"/>
      <c r="T130" s="252"/>
      <c r="U130" s="252"/>
    </row>
    <row r="131" spans="1:26">
      <c r="N131" s="252"/>
      <c r="Q131" s="233"/>
      <c r="S131" s="233"/>
      <c r="T131" s="252"/>
      <c r="U131" s="252"/>
      <c r="V131" s="252"/>
    </row>
    <row r="132" spans="1:26">
      <c r="N132" s="252"/>
      <c r="O132" s="252"/>
      <c r="Q132" s="233"/>
      <c r="R132" s="233"/>
      <c r="S132" s="233"/>
      <c r="U132" s="252"/>
      <c r="V132" s="252"/>
    </row>
    <row r="133" spans="1:26">
      <c r="O133" s="252"/>
      <c r="Q133" s="233"/>
      <c r="T133" s="252"/>
    </row>
    <row r="134" spans="1:26">
      <c r="N134" s="252"/>
      <c r="Q134" s="233"/>
      <c r="U134" s="252"/>
    </row>
    <row r="135" spans="1:26" s="222" customFormat="1" hidden="1">
      <c r="A135" s="221"/>
      <c r="B135" s="221"/>
      <c r="C135" s="221"/>
      <c r="L135" s="221"/>
      <c r="Q135" s="233"/>
      <c r="R135" s="221"/>
      <c r="S135" s="221"/>
      <c r="W135" s="221"/>
      <c r="X135" s="221"/>
      <c r="Y135" s="221"/>
    </row>
    <row r="136" spans="1:26" hidden="1"/>
    <row r="137" spans="1:26" hidden="1"/>
    <row r="138" spans="1:26" ht="193.2" hidden="1">
      <c r="B138" s="253"/>
      <c r="C138" s="242" t="s">
        <v>266</v>
      </c>
      <c r="D138" s="226" t="s">
        <v>264</v>
      </c>
      <c r="E138" s="254" t="s">
        <v>263</v>
      </c>
      <c r="F138" s="255"/>
      <c r="G138" s="254" t="s">
        <v>263</v>
      </c>
      <c r="H138" s="226" t="s">
        <v>264</v>
      </c>
      <c r="I138" s="226" t="s">
        <v>265</v>
      </c>
      <c r="J138" s="232" t="s">
        <v>308</v>
      </c>
      <c r="K138" s="232" t="s">
        <v>285</v>
      </c>
      <c r="L138" s="225" t="s">
        <v>181</v>
      </c>
      <c r="M138" s="226" t="s">
        <v>181</v>
      </c>
      <c r="N138" s="232"/>
      <c r="O138" s="256"/>
      <c r="P138" s="256"/>
      <c r="Q138" s="244"/>
      <c r="R138" s="253"/>
      <c r="S138" s="253"/>
      <c r="T138" s="256"/>
      <c r="U138" s="250"/>
      <c r="V138" s="250"/>
      <c r="W138" s="249"/>
      <c r="X138" s="249"/>
      <c r="Y138" s="249"/>
      <c r="Z138" s="249"/>
    </row>
    <row r="139" spans="1:26" hidden="1">
      <c r="A139" s="257">
        <v>4</v>
      </c>
      <c r="B139" s="258" t="s">
        <v>309</v>
      </c>
      <c r="C139" s="558" t="s">
        <v>303</v>
      </c>
      <c r="D139" s="559"/>
      <c r="E139" s="559"/>
      <c r="F139" s="559"/>
      <c r="G139" s="560"/>
      <c r="H139" s="231" t="s">
        <v>305</v>
      </c>
      <c r="I139" s="231" t="s">
        <v>306</v>
      </c>
      <c r="J139" s="561" t="s">
        <v>307</v>
      </c>
      <c r="K139" s="562"/>
      <c r="L139" s="242" t="s">
        <v>310</v>
      </c>
      <c r="M139" s="231" t="s">
        <v>311</v>
      </c>
      <c r="N139" s="275"/>
      <c r="O139" s="259"/>
      <c r="P139" s="259"/>
      <c r="Q139" s="310"/>
      <c r="R139" s="310"/>
      <c r="S139" s="311"/>
      <c r="T139" s="231"/>
      <c r="U139" s="260"/>
      <c r="V139" s="260"/>
      <c r="W139" s="249"/>
      <c r="X139" s="249"/>
      <c r="Y139" s="249"/>
      <c r="Z139" s="249"/>
    </row>
    <row r="140" spans="1:26" hidden="1">
      <c r="A140" s="257"/>
      <c r="B140" s="261" t="s">
        <v>304</v>
      </c>
      <c r="C140" s="244">
        <v>19</v>
      </c>
      <c r="D140" s="262">
        <v>60</v>
      </c>
      <c r="E140" s="262"/>
      <c r="F140" s="238"/>
      <c r="G140" s="262">
        <v>22</v>
      </c>
      <c r="H140" s="263">
        <v>17</v>
      </c>
      <c r="I140" s="263"/>
      <c r="J140" s="232"/>
      <c r="K140" s="273"/>
      <c r="L140" s="253"/>
      <c r="M140" s="256"/>
      <c r="N140" s="256"/>
      <c r="O140" s="256"/>
      <c r="P140" s="256"/>
      <c r="Q140" s="253"/>
      <c r="R140" s="312"/>
      <c r="S140" s="253"/>
      <c r="T140" s="256"/>
      <c r="U140" s="250"/>
      <c r="V140" s="250"/>
      <c r="W140" s="249"/>
      <c r="X140" s="249"/>
      <c r="Y140" s="249"/>
      <c r="Z140" s="249"/>
    </row>
    <row r="141" spans="1:26" hidden="1">
      <c r="A141" s="257"/>
      <c r="B141" s="239" t="s">
        <v>225</v>
      </c>
      <c r="C141" s="253"/>
      <c r="D141" s="256"/>
      <c r="E141" s="256"/>
      <c r="F141" s="256"/>
      <c r="G141" s="256"/>
      <c r="H141" s="265"/>
      <c r="I141" s="265"/>
      <c r="J141" s="265"/>
      <c r="K141" s="256"/>
      <c r="L141" s="253"/>
      <c r="M141" s="256"/>
      <c r="N141" s="264"/>
      <c r="O141" s="264"/>
      <c r="P141" s="256"/>
      <c r="Q141" s="312"/>
      <c r="R141" s="253"/>
      <c r="S141" s="312"/>
      <c r="T141" s="264"/>
      <c r="U141" s="250"/>
      <c r="V141" s="266"/>
      <c r="W141" s="249"/>
      <c r="X141" s="249"/>
      <c r="Y141" s="249"/>
      <c r="Z141" s="249"/>
    </row>
    <row r="142" spans="1:26" hidden="1">
      <c r="B142" s="239" t="s">
        <v>225</v>
      </c>
      <c r="C142" s="253"/>
      <c r="D142" s="256"/>
      <c r="E142" s="256"/>
      <c r="F142" s="256"/>
      <c r="G142" s="256"/>
      <c r="H142" s="256"/>
      <c r="I142" s="256"/>
      <c r="J142" s="256"/>
      <c r="K142" s="256"/>
      <c r="L142" s="253"/>
      <c r="M142" s="256"/>
      <c r="N142" s="264"/>
      <c r="O142" s="264"/>
      <c r="P142" s="256"/>
      <c r="Q142" s="253"/>
      <c r="R142" s="253"/>
      <c r="S142" s="312"/>
      <c r="T142" s="264"/>
      <c r="U142" s="250"/>
      <c r="V142" s="250"/>
      <c r="W142" s="249"/>
      <c r="X142" s="249"/>
      <c r="Y142" s="249"/>
      <c r="Z142" s="249"/>
    </row>
    <row r="143" spans="1:26" ht="27.6" hidden="1">
      <c r="B143" s="225" t="s">
        <v>281</v>
      </c>
      <c r="C143" s="253"/>
      <c r="D143" s="256"/>
      <c r="E143" s="256"/>
      <c r="F143" s="256"/>
      <c r="G143" s="256"/>
      <c r="H143" s="256"/>
      <c r="I143" s="256"/>
      <c r="J143" s="256"/>
      <c r="K143" s="256"/>
      <c r="L143" s="253"/>
      <c r="M143" s="256"/>
      <c r="N143" s="264"/>
      <c r="O143" s="256"/>
      <c r="P143" s="256"/>
      <c r="Q143" s="253"/>
      <c r="R143" s="253"/>
      <c r="S143" s="253"/>
      <c r="T143" s="256"/>
      <c r="U143" s="250"/>
      <c r="V143" s="250"/>
      <c r="W143" s="249"/>
      <c r="X143" s="249"/>
      <c r="Y143" s="249"/>
      <c r="Z143" s="249"/>
    </row>
    <row r="144" spans="1:26" ht="55.2" hidden="1">
      <c r="B144" s="246" t="s">
        <v>286</v>
      </c>
      <c r="C144" s="253"/>
      <c r="D144" s="256"/>
      <c r="E144" s="256"/>
      <c r="F144" s="256"/>
      <c r="G144" s="256"/>
      <c r="H144" s="256"/>
      <c r="I144" s="256"/>
      <c r="J144" s="256"/>
      <c r="K144" s="256"/>
      <c r="L144" s="253"/>
      <c r="M144" s="256"/>
      <c r="N144" s="267"/>
      <c r="O144" s="256"/>
      <c r="P144" s="267"/>
      <c r="Q144" s="253"/>
      <c r="R144" s="253"/>
      <c r="S144" s="253"/>
      <c r="T144" s="256"/>
      <c r="U144" s="250"/>
      <c r="V144" s="250"/>
      <c r="W144" s="249"/>
      <c r="X144" s="249"/>
      <c r="Y144" s="249"/>
      <c r="Z144" s="249"/>
    </row>
    <row r="145" spans="1:26" ht="41.4" hidden="1">
      <c r="B145" s="246" t="s">
        <v>287</v>
      </c>
      <c r="C145" s="253"/>
      <c r="D145" s="256"/>
      <c r="E145" s="256"/>
      <c r="F145" s="256"/>
      <c r="G145" s="256"/>
      <c r="H145" s="256"/>
      <c r="I145" s="256"/>
      <c r="J145" s="256"/>
      <c r="K145" s="256"/>
      <c r="L145" s="253"/>
      <c r="M145" s="256"/>
      <c r="N145" s="264"/>
      <c r="O145" s="256"/>
      <c r="P145" s="256"/>
      <c r="Q145" s="253"/>
      <c r="R145" s="253"/>
      <c r="S145" s="312"/>
      <c r="T145" s="264"/>
      <c r="U145" s="250"/>
      <c r="V145" s="250"/>
      <c r="W145" s="249"/>
      <c r="X145" s="249"/>
      <c r="Y145" s="249"/>
      <c r="Z145" s="249"/>
    </row>
    <row r="146" spans="1:26" hidden="1">
      <c r="B146" s="268" t="s">
        <v>313</v>
      </c>
      <c r="C146" s="253"/>
      <c r="D146" s="256"/>
      <c r="E146" s="256"/>
      <c r="F146" s="256"/>
      <c r="G146" s="256"/>
      <c r="H146" s="256"/>
      <c r="I146" s="256"/>
      <c r="J146" s="256"/>
      <c r="K146" s="256"/>
      <c r="L146" s="253"/>
      <c r="M146" s="256"/>
      <c r="N146" s="264"/>
      <c r="O146" s="264"/>
      <c r="P146" s="264"/>
      <c r="Q146" s="312"/>
      <c r="R146" s="312"/>
      <c r="S146" s="312"/>
      <c r="T146" s="256"/>
      <c r="U146" s="250"/>
      <c r="V146" s="250"/>
      <c r="W146" s="249"/>
      <c r="X146" s="249"/>
      <c r="Y146" s="249"/>
      <c r="Z146" s="249"/>
    </row>
    <row r="147" spans="1:26" hidden="1">
      <c r="B147" s="269"/>
      <c r="C147" s="249"/>
      <c r="D147" s="250"/>
      <c r="E147" s="250"/>
      <c r="F147" s="250"/>
      <c r="G147" s="250"/>
      <c r="H147" s="250"/>
      <c r="I147" s="250"/>
      <c r="J147" s="250"/>
      <c r="K147" s="250"/>
      <c r="L147" s="249"/>
      <c r="M147" s="250"/>
      <c r="N147" s="251"/>
      <c r="O147" s="250"/>
      <c r="P147" s="250"/>
      <c r="Q147" s="249"/>
      <c r="R147" s="249"/>
    </row>
    <row r="148" spans="1:26" hidden="1">
      <c r="B148" s="269"/>
      <c r="C148" s="249"/>
      <c r="D148" s="250"/>
      <c r="E148" s="250"/>
      <c r="F148" s="250"/>
      <c r="G148" s="250"/>
      <c r="H148" s="250"/>
      <c r="I148" s="250"/>
      <c r="J148" s="250"/>
      <c r="K148" s="250"/>
      <c r="L148" s="249"/>
      <c r="M148" s="250"/>
      <c r="N148" s="251"/>
      <c r="O148" s="250"/>
      <c r="P148" s="250"/>
      <c r="Q148" s="249"/>
      <c r="R148" s="249"/>
    </row>
    <row r="149" spans="1:26" hidden="1">
      <c r="B149" s="258" t="s">
        <v>309</v>
      </c>
      <c r="C149" s="558" t="s">
        <v>303</v>
      </c>
      <c r="D149" s="559"/>
      <c r="E149" s="559"/>
      <c r="F149" s="559"/>
      <c r="G149" s="560"/>
      <c r="H149" s="231" t="s">
        <v>305</v>
      </c>
      <c r="I149" s="231" t="s">
        <v>306</v>
      </c>
      <c r="J149" s="561" t="s">
        <v>307</v>
      </c>
      <c r="K149" s="562"/>
      <c r="L149" s="242" t="s">
        <v>310</v>
      </c>
      <c r="M149" s="231" t="s">
        <v>311</v>
      </c>
      <c r="N149" s="232"/>
      <c r="O149" s="232"/>
      <c r="P149" s="231"/>
      <c r="Q149" s="242"/>
      <c r="R149" s="242"/>
      <c r="S149" s="311"/>
      <c r="T149" s="231"/>
    </row>
    <row r="150" spans="1:26" hidden="1">
      <c r="A150" s="257">
        <v>5</v>
      </c>
      <c r="B150" s="261" t="s">
        <v>304</v>
      </c>
      <c r="C150" s="244"/>
      <c r="D150" s="262"/>
      <c r="E150" s="262"/>
      <c r="F150" s="238"/>
      <c r="G150" s="262"/>
      <c r="H150" s="238"/>
      <c r="I150" s="238">
        <v>32</v>
      </c>
      <c r="J150" s="232"/>
      <c r="K150" s="273"/>
      <c r="L150" s="253"/>
      <c r="M150" s="256"/>
      <c r="N150" s="256"/>
      <c r="O150" s="256"/>
      <c r="P150" s="256"/>
      <c r="Q150" s="253"/>
      <c r="R150" s="312"/>
      <c r="S150" s="253"/>
      <c r="T150" s="256"/>
    </row>
    <row r="151" spans="1:26" hidden="1">
      <c r="B151" s="239" t="s">
        <v>225</v>
      </c>
      <c r="C151" s="253"/>
      <c r="D151" s="256"/>
      <c r="E151" s="256"/>
      <c r="F151" s="256"/>
      <c r="G151" s="256"/>
      <c r="H151" s="265"/>
      <c r="I151" s="265"/>
      <c r="J151" s="265"/>
      <c r="K151" s="256"/>
      <c r="L151" s="253"/>
      <c r="M151" s="256"/>
      <c r="N151" s="264"/>
      <c r="O151" s="264"/>
      <c r="P151" s="256"/>
      <c r="Q151" s="312"/>
      <c r="R151" s="312"/>
      <c r="S151" s="312"/>
      <c r="T151" s="264"/>
    </row>
    <row r="152" spans="1:26" hidden="1">
      <c r="B152" s="239" t="s">
        <v>225</v>
      </c>
      <c r="C152" s="253"/>
      <c r="D152" s="256"/>
      <c r="E152" s="256"/>
      <c r="F152" s="256"/>
      <c r="G152" s="256"/>
      <c r="H152" s="256"/>
      <c r="I152" s="256"/>
      <c r="J152" s="256"/>
      <c r="K152" s="256"/>
      <c r="L152" s="253"/>
      <c r="M152" s="256"/>
      <c r="N152" s="264"/>
      <c r="O152" s="264"/>
      <c r="P152" s="256"/>
      <c r="Q152" s="253"/>
      <c r="R152" s="253"/>
      <c r="S152" s="312"/>
      <c r="T152" s="264"/>
    </row>
    <row r="153" spans="1:26" ht="27.6" hidden="1">
      <c r="B153" s="225" t="s">
        <v>281</v>
      </c>
      <c r="C153" s="253"/>
      <c r="D153" s="256"/>
      <c r="E153" s="256"/>
      <c r="F153" s="256"/>
      <c r="G153" s="256"/>
      <c r="H153" s="256"/>
      <c r="I153" s="256"/>
      <c r="J153" s="256"/>
      <c r="K153" s="256"/>
      <c r="L153" s="253"/>
      <c r="M153" s="256"/>
      <c r="N153" s="264"/>
      <c r="O153" s="256"/>
      <c r="P153" s="256"/>
      <c r="Q153" s="253"/>
      <c r="R153" s="253"/>
      <c r="S153" s="253"/>
      <c r="T153" s="256"/>
    </row>
    <row r="154" spans="1:26" hidden="1">
      <c r="B154" s="268" t="s">
        <v>313</v>
      </c>
      <c r="C154" s="253"/>
      <c r="D154" s="256"/>
      <c r="E154" s="256"/>
      <c r="F154" s="256"/>
      <c r="G154" s="256"/>
      <c r="H154" s="256"/>
      <c r="I154" s="256"/>
      <c r="J154" s="256"/>
      <c r="K154" s="256"/>
      <c r="L154" s="253"/>
      <c r="M154" s="256"/>
      <c r="N154" s="264"/>
      <c r="O154" s="264"/>
      <c r="P154" s="264"/>
      <c r="Q154" s="312"/>
      <c r="R154" s="312"/>
      <c r="S154" s="312"/>
      <c r="T154" s="256"/>
    </row>
    <row r="155" spans="1:26" hidden="1">
      <c r="A155" s="249"/>
      <c r="B155" s="249"/>
      <c r="C155" s="249"/>
      <c r="D155" s="250"/>
      <c r="E155" s="250"/>
      <c r="F155" s="250"/>
      <c r="G155" s="250"/>
      <c r="H155" s="250"/>
      <c r="I155" s="250"/>
      <c r="J155" s="250"/>
      <c r="K155" s="250"/>
      <c r="L155" s="249"/>
      <c r="M155" s="250"/>
      <c r="N155" s="250"/>
      <c r="O155" s="250"/>
      <c r="P155" s="250"/>
      <c r="Q155" s="249"/>
      <c r="R155" s="249"/>
      <c r="S155" s="309"/>
      <c r="T155" s="251"/>
    </row>
    <row r="156" spans="1:26" hidden="1">
      <c r="A156" s="249"/>
      <c r="B156" s="249"/>
      <c r="C156" s="249"/>
      <c r="D156" s="250"/>
      <c r="E156" s="250"/>
      <c r="F156" s="250"/>
      <c r="G156" s="250"/>
      <c r="H156" s="250"/>
      <c r="I156" s="250"/>
      <c r="J156" s="250"/>
      <c r="K156" s="250"/>
      <c r="L156" s="249"/>
      <c r="M156" s="250"/>
      <c r="N156" s="250"/>
      <c r="O156" s="250"/>
      <c r="P156" s="250"/>
      <c r="Q156" s="249"/>
      <c r="R156" s="249"/>
      <c r="S156" s="309"/>
      <c r="T156" s="250"/>
    </row>
    <row r="157" spans="1:26" hidden="1">
      <c r="A157" s="257">
        <v>7</v>
      </c>
      <c r="B157" s="258" t="s">
        <v>309</v>
      </c>
      <c r="C157" s="558" t="s">
        <v>303</v>
      </c>
      <c r="D157" s="559"/>
      <c r="E157" s="559"/>
      <c r="F157" s="559"/>
      <c r="G157" s="560"/>
      <c r="H157" s="231" t="s">
        <v>305</v>
      </c>
      <c r="I157" s="231" t="s">
        <v>306</v>
      </c>
      <c r="J157" s="561" t="s">
        <v>307</v>
      </c>
      <c r="K157" s="562"/>
      <c r="L157" s="242" t="s">
        <v>310</v>
      </c>
      <c r="M157" s="231" t="s">
        <v>311</v>
      </c>
      <c r="N157" s="232"/>
      <c r="O157" s="232"/>
      <c r="P157" s="231"/>
      <c r="Q157" s="242"/>
      <c r="R157" s="242"/>
      <c r="S157" s="311"/>
      <c r="T157" s="231"/>
    </row>
    <row r="158" spans="1:26" hidden="1">
      <c r="A158" s="257"/>
      <c r="B158" s="261" t="s">
        <v>304</v>
      </c>
      <c r="C158" s="253">
        <v>13</v>
      </c>
      <c r="D158" s="256">
        <v>24</v>
      </c>
      <c r="E158" s="256"/>
      <c r="F158" s="256"/>
      <c r="G158" s="256"/>
      <c r="H158" s="256">
        <v>43</v>
      </c>
      <c r="I158" s="256"/>
      <c r="J158" s="256">
        <v>18</v>
      </c>
      <c r="K158" s="256">
        <v>13</v>
      </c>
      <c r="L158" s="253"/>
      <c r="M158" s="256"/>
      <c r="N158" s="256"/>
      <c r="O158" s="256"/>
      <c r="P158" s="256"/>
      <c r="Q158" s="253"/>
      <c r="R158" s="312"/>
      <c r="S158" s="253"/>
      <c r="T158" s="256"/>
    </row>
    <row r="159" spans="1:26" hidden="1">
      <c r="B159" s="239" t="s">
        <v>225</v>
      </c>
      <c r="C159" s="253"/>
      <c r="D159" s="256"/>
      <c r="E159" s="256"/>
      <c r="F159" s="256"/>
      <c r="G159" s="256"/>
      <c r="H159" s="256"/>
      <c r="I159" s="256"/>
      <c r="J159" s="256"/>
      <c r="K159" s="256"/>
      <c r="L159" s="253"/>
      <c r="M159" s="256"/>
      <c r="N159" s="264"/>
      <c r="O159" s="256"/>
      <c r="P159" s="256"/>
      <c r="Q159" s="312"/>
      <c r="R159" s="253"/>
      <c r="S159" s="312"/>
      <c r="T159" s="264"/>
    </row>
    <row r="160" spans="1:26" hidden="1">
      <c r="B160" s="239" t="s">
        <v>225</v>
      </c>
      <c r="C160" s="253"/>
      <c r="D160" s="256"/>
      <c r="E160" s="256"/>
      <c r="F160" s="256"/>
      <c r="G160" s="256"/>
      <c r="H160" s="256"/>
      <c r="I160" s="256"/>
      <c r="J160" s="256"/>
      <c r="K160" s="256"/>
      <c r="L160" s="253"/>
      <c r="M160" s="256"/>
      <c r="N160" s="264"/>
      <c r="O160" s="264"/>
      <c r="P160" s="256"/>
      <c r="Q160" s="253"/>
      <c r="R160" s="253"/>
      <c r="S160" s="312"/>
      <c r="T160" s="264"/>
    </row>
    <row r="161" spans="1:20" ht="27.6" hidden="1">
      <c r="B161" s="225" t="s">
        <v>281</v>
      </c>
      <c r="C161" s="253"/>
      <c r="D161" s="256"/>
      <c r="E161" s="256"/>
      <c r="F161" s="256"/>
      <c r="G161" s="256"/>
      <c r="H161" s="256"/>
      <c r="I161" s="256"/>
      <c r="J161" s="256"/>
      <c r="K161" s="256"/>
      <c r="L161" s="253"/>
      <c r="M161" s="256"/>
      <c r="N161" s="264"/>
      <c r="O161" s="256"/>
      <c r="P161" s="256"/>
      <c r="Q161" s="253"/>
      <c r="R161" s="253"/>
      <c r="S161" s="312"/>
      <c r="T161" s="256"/>
    </row>
    <row r="162" spans="1:20" hidden="1">
      <c r="B162" s="246" t="s">
        <v>312</v>
      </c>
      <c r="C162" s="253"/>
      <c r="D162" s="256"/>
      <c r="E162" s="256"/>
      <c r="F162" s="256"/>
      <c r="G162" s="256"/>
      <c r="H162" s="256"/>
      <c r="I162" s="256"/>
      <c r="J162" s="256"/>
      <c r="K162" s="256"/>
      <c r="L162" s="253"/>
      <c r="M162" s="256"/>
      <c r="N162" s="264"/>
      <c r="O162" s="256"/>
      <c r="P162" s="264"/>
      <c r="Q162" s="253"/>
      <c r="R162" s="253"/>
      <c r="S162" s="312"/>
      <c r="T162" s="256"/>
    </row>
    <row r="163" spans="1:20" ht="55.2" hidden="1">
      <c r="B163" s="246" t="s">
        <v>286</v>
      </c>
      <c r="C163" s="253"/>
      <c r="D163" s="256"/>
      <c r="E163" s="256"/>
      <c r="F163" s="256"/>
      <c r="G163" s="256"/>
      <c r="H163" s="256"/>
      <c r="I163" s="256"/>
      <c r="J163" s="256"/>
      <c r="K163" s="256"/>
      <c r="L163" s="253"/>
      <c r="M163" s="256"/>
      <c r="N163" s="267"/>
      <c r="O163" s="256"/>
      <c r="P163" s="256"/>
      <c r="Q163" s="253"/>
      <c r="R163" s="253"/>
      <c r="S163" s="312"/>
      <c r="T163" s="264"/>
    </row>
    <row r="164" spans="1:20" ht="41.4" hidden="1">
      <c r="B164" s="246" t="s">
        <v>287</v>
      </c>
      <c r="C164" s="253"/>
      <c r="D164" s="256"/>
      <c r="E164" s="256"/>
      <c r="F164" s="256"/>
      <c r="G164" s="256"/>
      <c r="H164" s="256"/>
      <c r="I164" s="256"/>
      <c r="J164" s="256"/>
      <c r="K164" s="256"/>
      <c r="L164" s="253"/>
      <c r="M164" s="256"/>
      <c r="N164" s="264"/>
      <c r="O164" s="256"/>
      <c r="P164" s="256"/>
      <c r="Q164" s="253"/>
      <c r="R164" s="253"/>
      <c r="S164" s="312"/>
      <c r="T164" s="256"/>
    </row>
    <row r="165" spans="1:20" hidden="1">
      <c r="B165" s="268" t="s">
        <v>313</v>
      </c>
      <c r="C165" s="253"/>
      <c r="D165" s="256"/>
      <c r="E165" s="256"/>
      <c r="F165" s="256"/>
      <c r="G165" s="256"/>
      <c r="H165" s="256"/>
      <c r="I165" s="256"/>
      <c r="J165" s="256"/>
      <c r="K165" s="256"/>
      <c r="L165" s="253"/>
      <c r="M165" s="256"/>
      <c r="N165" s="264"/>
      <c r="O165" s="256"/>
      <c r="P165" s="256"/>
      <c r="Q165" s="253"/>
      <c r="R165" s="253"/>
      <c r="S165" s="312"/>
      <c r="T165" s="256"/>
    </row>
    <row r="166" spans="1:20" hidden="1"/>
    <row r="167" spans="1:20" hidden="1"/>
    <row r="168" spans="1:20" hidden="1">
      <c r="A168" s="257">
        <v>8</v>
      </c>
      <c r="B168" s="258" t="s">
        <v>309</v>
      </c>
      <c r="C168" s="558" t="s">
        <v>303</v>
      </c>
      <c r="D168" s="559"/>
      <c r="E168" s="559"/>
      <c r="F168" s="559"/>
      <c r="G168" s="560"/>
      <c r="H168" s="231" t="s">
        <v>305</v>
      </c>
      <c r="I168" s="231" t="s">
        <v>306</v>
      </c>
      <c r="J168" s="561" t="s">
        <v>307</v>
      </c>
      <c r="K168" s="562"/>
      <c r="L168" s="242" t="s">
        <v>310</v>
      </c>
      <c r="M168" s="231" t="s">
        <v>311</v>
      </c>
      <c r="N168" s="232"/>
      <c r="O168" s="232"/>
      <c r="P168" s="231"/>
      <c r="Q168" s="242"/>
      <c r="R168" s="242"/>
      <c r="S168" s="311"/>
      <c r="T168" s="231"/>
    </row>
    <row r="169" spans="1:20" hidden="1">
      <c r="A169" s="257"/>
      <c r="B169" s="253" t="s">
        <v>304</v>
      </c>
      <c r="C169" s="253">
        <v>19</v>
      </c>
      <c r="D169" s="256">
        <v>19</v>
      </c>
      <c r="E169" s="256"/>
      <c r="F169" s="256"/>
      <c r="G169" s="256"/>
      <c r="H169" s="256">
        <v>76</v>
      </c>
      <c r="I169" s="256"/>
      <c r="J169" s="256"/>
      <c r="K169" s="256"/>
      <c r="L169" s="253"/>
      <c r="M169" s="256"/>
      <c r="N169" s="256"/>
      <c r="O169" s="256"/>
      <c r="P169" s="256"/>
      <c r="Q169" s="253"/>
      <c r="R169" s="312"/>
      <c r="S169" s="253"/>
      <c r="T169" s="256"/>
    </row>
    <row r="170" spans="1:20" hidden="1">
      <c r="B170" s="239" t="s">
        <v>225</v>
      </c>
      <c r="C170" s="253"/>
      <c r="D170" s="256"/>
      <c r="E170" s="256"/>
      <c r="F170" s="256"/>
      <c r="G170" s="256"/>
      <c r="H170" s="256"/>
      <c r="I170" s="256"/>
      <c r="J170" s="256"/>
      <c r="K170" s="256"/>
      <c r="L170" s="253"/>
      <c r="M170" s="256"/>
      <c r="N170" s="264"/>
      <c r="O170" s="264"/>
      <c r="P170" s="256"/>
      <c r="Q170" s="312"/>
      <c r="R170" s="253"/>
      <c r="S170" s="312"/>
      <c r="T170" s="264"/>
    </row>
    <row r="171" spans="1:20" hidden="1">
      <c r="B171" s="239" t="s">
        <v>225</v>
      </c>
      <c r="C171" s="253"/>
      <c r="D171" s="256"/>
      <c r="E171" s="256"/>
      <c r="F171" s="256"/>
      <c r="G171" s="256"/>
      <c r="H171" s="256"/>
      <c r="I171" s="256"/>
      <c r="J171" s="256"/>
      <c r="K171" s="256"/>
      <c r="L171" s="253"/>
      <c r="M171" s="256"/>
      <c r="N171" s="264"/>
      <c r="O171" s="264"/>
      <c r="P171" s="256"/>
      <c r="Q171" s="253"/>
      <c r="R171" s="253"/>
      <c r="S171" s="312"/>
      <c r="T171" s="264"/>
    </row>
    <row r="172" spans="1:20" ht="27.6" hidden="1">
      <c r="B172" s="225" t="s">
        <v>281</v>
      </c>
      <c r="C172" s="253"/>
      <c r="D172" s="256"/>
      <c r="E172" s="256"/>
      <c r="F172" s="256"/>
      <c r="G172" s="256"/>
      <c r="H172" s="256"/>
      <c r="I172" s="256"/>
      <c r="J172" s="256"/>
      <c r="K172" s="256"/>
      <c r="L172" s="253"/>
      <c r="M172" s="256"/>
      <c r="N172" s="264"/>
      <c r="O172" s="256"/>
      <c r="P172" s="256"/>
      <c r="Q172" s="253"/>
      <c r="R172" s="253"/>
      <c r="S172" s="312"/>
      <c r="T172" s="256"/>
    </row>
    <row r="173" spans="1:20" ht="55.2" hidden="1">
      <c r="B173" s="246" t="s">
        <v>286</v>
      </c>
      <c r="C173" s="253"/>
      <c r="D173" s="256"/>
      <c r="E173" s="256"/>
      <c r="F173" s="256"/>
      <c r="G173" s="256"/>
      <c r="H173" s="256"/>
      <c r="I173" s="256"/>
      <c r="J173" s="256"/>
      <c r="K173" s="256"/>
      <c r="L173" s="253"/>
      <c r="M173" s="256"/>
      <c r="N173" s="267"/>
      <c r="O173" s="256"/>
      <c r="P173" s="267"/>
      <c r="Q173" s="253"/>
      <c r="R173" s="253"/>
      <c r="S173" s="312"/>
      <c r="T173" s="256"/>
    </row>
    <row r="174" spans="1:20" ht="41.4" hidden="1">
      <c r="B174" s="246" t="s">
        <v>287</v>
      </c>
      <c r="C174" s="253"/>
      <c r="D174" s="256"/>
      <c r="E174" s="256"/>
      <c r="F174" s="256"/>
      <c r="G174" s="256"/>
      <c r="H174" s="256"/>
      <c r="I174" s="256"/>
      <c r="J174" s="256"/>
      <c r="K174" s="256"/>
      <c r="L174" s="253"/>
      <c r="M174" s="256"/>
      <c r="N174" s="264"/>
      <c r="O174" s="256"/>
      <c r="P174" s="256"/>
      <c r="Q174" s="253"/>
      <c r="R174" s="253"/>
      <c r="S174" s="312"/>
      <c r="T174" s="264"/>
    </row>
    <row r="175" spans="1:20" hidden="1">
      <c r="B175" s="268" t="s">
        <v>313</v>
      </c>
      <c r="C175" s="253"/>
      <c r="D175" s="256"/>
      <c r="E175" s="256"/>
      <c r="F175" s="256"/>
      <c r="G175" s="256"/>
      <c r="H175" s="256"/>
      <c r="I175" s="256"/>
      <c r="J175" s="256"/>
      <c r="K175" s="256"/>
      <c r="L175" s="253"/>
      <c r="M175" s="256"/>
      <c r="N175" s="264"/>
      <c r="O175" s="256"/>
      <c r="P175" s="256"/>
      <c r="Q175" s="253"/>
      <c r="R175" s="253"/>
      <c r="S175" s="312"/>
      <c r="T175" s="256"/>
    </row>
    <row r="176" spans="1:20" hidden="1">
      <c r="S176" s="309"/>
      <c r="T176" s="250"/>
    </row>
    <row r="177" spans="1:20" hidden="1"/>
    <row r="178" spans="1:20" hidden="1">
      <c r="B178" s="258" t="s">
        <v>309</v>
      </c>
      <c r="C178" s="558" t="s">
        <v>303</v>
      </c>
      <c r="D178" s="559"/>
      <c r="E178" s="559"/>
      <c r="F178" s="559"/>
      <c r="G178" s="560"/>
      <c r="H178" s="231" t="s">
        <v>305</v>
      </c>
      <c r="I178" s="231" t="s">
        <v>306</v>
      </c>
      <c r="J178" s="561" t="s">
        <v>307</v>
      </c>
      <c r="K178" s="562"/>
      <c r="L178" s="242" t="s">
        <v>310</v>
      </c>
      <c r="M178" s="231" t="s">
        <v>311</v>
      </c>
      <c r="N178" s="232"/>
      <c r="O178" s="232"/>
      <c r="P178" s="231"/>
      <c r="Q178" s="242"/>
      <c r="R178" s="242"/>
      <c r="S178" s="311"/>
      <c r="T178" s="231"/>
    </row>
    <row r="179" spans="1:20" hidden="1">
      <c r="A179" s="257">
        <v>9</v>
      </c>
      <c r="B179" s="261" t="s">
        <v>304</v>
      </c>
      <c r="C179" s="253">
        <v>29</v>
      </c>
      <c r="D179" s="256">
        <v>89</v>
      </c>
      <c r="E179" s="256"/>
      <c r="F179" s="256"/>
      <c r="G179" s="256"/>
      <c r="H179" s="256">
        <v>75</v>
      </c>
      <c r="I179" s="256"/>
      <c r="J179" s="256"/>
      <c r="K179" s="256">
        <v>24</v>
      </c>
      <c r="L179" s="253"/>
      <c r="M179" s="256"/>
      <c r="N179" s="256"/>
      <c r="O179" s="256"/>
      <c r="P179" s="256"/>
      <c r="Q179" s="253"/>
      <c r="R179" s="312"/>
      <c r="S179" s="253"/>
      <c r="T179" s="256"/>
    </row>
    <row r="180" spans="1:20" hidden="1">
      <c r="B180" s="239" t="s">
        <v>225</v>
      </c>
      <c r="C180" s="253"/>
      <c r="D180" s="256"/>
      <c r="E180" s="256"/>
      <c r="F180" s="256"/>
      <c r="G180" s="256"/>
      <c r="H180" s="256"/>
      <c r="I180" s="256"/>
      <c r="J180" s="256"/>
      <c r="K180" s="256"/>
      <c r="L180" s="253"/>
      <c r="M180" s="256"/>
      <c r="N180" s="264"/>
      <c r="O180" s="264"/>
      <c r="P180" s="256"/>
      <c r="Q180" s="312"/>
      <c r="R180" s="253"/>
      <c r="S180" s="312"/>
      <c r="T180" s="264"/>
    </row>
    <row r="181" spans="1:20" hidden="1">
      <c r="B181" s="239" t="s">
        <v>225</v>
      </c>
      <c r="C181" s="253"/>
      <c r="D181" s="256"/>
      <c r="E181" s="256"/>
      <c r="F181" s="256"/>
      <c r="G181" s="256"/>
      <c r="H181" s="256"/>
      <c r="I181" s="256"/>
      <c r="J181" s="256"/>
      <c r="K181" s="256"/>
      <c r="L181" s="253"/>
      <c r="M181" s="256"/>
      <c r="N181" s="264"/>
      <c r="O181" s="264"/>
      <c r="P181" s="256"/>
      <c r="Q181" s="253"/>
      <c r="R181" s="253"/>
      <c r="S181" s="312"/>
      <c r="T181" s="264"/>
    </row>
    <row r="182" spans="1:20" ht="27.6" hidden="1">
      <c r="B182" s="225" t="s">
        <v>281</v>
      </c>
      <c r="C182" s="253"/>
      <c r="D182" s="256"/>
      <c r="E182" s="256"/>
      <c r="F182" s="256"/>
      <c r="G182" s="256"/>
      <c r="H182" s="256"/>
      <c r="I182" s="256"/>
      <c r="J182" s="256"/>
      <c r="K182" s="256"/>
      <c r="L182" s="253"/>
      <c r="M182" s="256"/>
      <c r="N182" s="264"/>
      <c r="O182" s="256"/>
      <c r="P182" s="256"/>
      <c r="Q182" s="253"/>
      <c r="R182" s="253"/>
      <c r="S182" s="312"/>
      <c r="T182" s="256"/>
    </row>
    <row r="183" spans="1:20" ht="55.2" hidden="1">
      <c r="B183" s="246" t="s">
        <v>286</v>
      </c>
      <c r="C183" s="253"/>
      <c r="D183" s="256"/>
      <c r="E183" s="256"/>
      <c r="F183" s="256"/>
      <c r="G183" s="256"/>
      <c r="H183" s="256"/>
      <c r="I183" s="256"/>
      <c r="J183" s="256"/>
      <c r="K183" s="256"/>
      <c r="L183" s="253"/>
      <c r="M183" s="256"/>
      <c r="N183" s="267"/>
      <c r="O183" s="256"/>
      <c r="P183" s="267"/>
      <c r="Q183" s="253"/>
      <c r="R183" s="253"/>
      <c r="S183" s="312"/>
      <c r="T183" s="256"/>
    </row>
    <row r="184" spans="1:20" ht="41.4" hidden="1">
      <c r="B184" s="246" t="s">
        <v>287</v>
      </c>
      <c r="C184" s="253"/>
      <c r="D184" s="256"/>
      <c r="E184" s="256"/>
      <c r="F184" s="256"/>
      <c r="G184" s="256"/>
      <c r="H184" s="256"/>
      <c r="I184" s="256"/>
      <c r="J184" s="256"/>
      <c r="K184" s="256"/>
      <c r="L184" s="253"/>
      <c r="M184" s="256"/>
      <c r="N184" s="264"/>
      <c r="O184" s="256"/>
      <c r="P184" s="256"/>
      <c r="Q184" s="253"/>
      <c r="R184" s="253"/>
      <c r="S184" s="312"/>
      <c r="T184" s="264"/>
    </row>
    <row r="185" spans="1:20" hidden="1">
      <c r="B185" s="268" t="s">
        <v>313</v>
      </c>
      <c r="C185" s="253"/>
      <c r="D185" s="256"/>
      <c r="E185" s="256"/>
      <c r="F185" s="256"/>
      <c r="G185" s="256"/>
      <c r="H185" s="256"/>
      <c r="I185" s="256"/>
      <c r="J185" s="256"/>
      <c r="K185" s="256"/>
      <c r="L185" s="253"/>
      <c r="M185" s="256"/>
      <c r="N185" s="264"/>
      <c r="O185" s="256"/>
      <c r="P185" s="256"/>
      <c r="Q185" s="253"/>
      <c r="R185" s="253"/>
      <c r="S185" s="312"/>
      <c r="T185" s="256"/>
    </row>
    <row r="186" spans="1:20" hidden="1"/>
    <row r="187" spans="1:20" hidden="1"/>
    <row r="188" spans="1:20" hidden="1">
      <c r="B188" s="258" t="s">
        <v>309</v>
      </c>
      <c r="C188" s="558" t="s">
        <v>303</v>
      </c>
      <c r="D188" s="559"/>
      <c r="E188" s="559"/>
      <c r="F188" s="559"/>
      <c r="G188" s="560"/>
      <c r="H188" s="231" t="s">
        <v>305</v>
      </c>
      <c r="I188" s="231" t="s">
        <v>306</v>
      </c>
      <c r="J188" s="561" t="s">
        <v>307</v>
      </c>
      <c r="K188" s="562"/>
      <c r="L188" s="242" t="s">
        <v>310</v>
      </c>
      <c r="M188" s="231" t="s">
        <v>311</v>
      </c>
      <c r="N188" s="232"/>
      <c r="O188" s="232"/>
      <c r="P188" s="231"/>
      <c r="Q188" s="242"/>
      <c r="R188" s="242"/>
      <c r="S188" s="311"/>
      <c r="T188" s="231"/>
    </row>
    <row r="189" spans="1:20" hidden="1">
      <c r="A189" s="257">
        <v>10</v>
      </c>
      <c r="B189" s="253" t="s">
        <v>304</v>
      </c>
      <c r="C189" s="253">
        <v>18</v>
      </c>
      <c r="D189" s="256">
        <v>17</v>
      </c>
      <c r="E189" s="256"/>
      <c r="F189" s="256"/>
      <c r="G189" s="256"/>
      <c r="H189" s="256">
        <v>75</v>
      </c>
      <c r="I189" s="256"/>
      <c r="J189" s="256"/>
      <c r="K189" s="256"/>
      <c r="L189" s="253"/>
      <c r="M189" s="256"/>
      <c r="N189" s="256"/>
      <c r="O189" s="256"/>
      <c r="P189" s="256"/>
      <c r="Q189" s="253"/>
      <c r="R189" s="312"/>
      <c r="S189" s="253"/>
      <c r="T189" s="256"/>
    </row>
    <row r="190" spans="1:20" hidden="1">
      <c r="B190" s="239" t="s">
        <v>225</v>
      </c>
      <c r="C190" s="253"/>
      <c r="D190" s="256"/>
      <c r="E190" s="256"/>
      <c r="F190" s="256"/>
      <c r="G190" s="256"/>
      <c r="H190" s="256"/>
      <c r="I190" s="256"/>
      <c r="J190" s="256"/>
      <c r="K190" s="256"/>
      <c r="L190" s="253"/>
      <c r="M190" s="256"/>
      <c r="N190" s="264"/>
      <c r="O190" s="256"/>
      <c r="P190" s="256"/>
      <c r="Q190" s="312"/>
      <c r="R190" s="253"/>
      <c r="S190" s="312"/>
      <c r="T190" s="264"/>
    </row>
    <row r="191" spans="1:20" hidden="1">
      <c r="B191" s="239" t="s">
        <v>225</v>
      </c>
      <c r="C191" s="253"/>
      <c r="D191" s="256"/>
      <c r="E191" s="256"/>
      <c r="F191" s="256"/>
      <c r="G191" s="256"/>
      <c r="H191" s="256"/>
      <c r="I191" s="256"/>
      <c r="J191" s="256"/>
      <c r="K191" s="256"/>
      <c r="L191" s="253"/>
      <c r="M191" s="256"/>
      <c r="N191" s="264"/>
      <c r="O191" s="264"/>
      <c r="P191" s="256"/>
      <c r="Q191" s="253"/>
      <c r="R191" s="253"/>
      <c r="S191" s="312"/>
      <c r="T191" s="264"/>
    </row>
    <row r="192" spans="1:20" ht="27.6" hidden="1">
      <c r="B192" s="225" t="s">
        <v>281</v>
      </c>
      <c r="C192" s="253"/>
      <c r="D192" s="256"/>
      <c r="E192" s="256"/>
      <c r="F192" s="256"/>
      <c r="G192" s="256"/>
      <c r="H192" s="231"/>
      <c r="I192" s="256"/>
      <c r="J192" s="256"/>
      <c r="K192" s="256"/>
      <c r="L192" s="253"/>
      <c r="M192" s="256"/>
      <c r="N192" s="264"/>
      <c r="O192" s="256"/>
      <c r="P192" s="256"/>
      <c r="Q192" s="253"/>
      <c r="R192" s="253"/>
      <c r="S192" s="312"/>
      <c r="T192" s="256"/>
    </row>
    <row r="193" spans="1:20" hidden="1">
      <c r="B193" s="243" t="s">
        <v>314</v>
      </c>
      <c r="C193" s="253"/>
      <c r="D193" s="256"/>
      <c r="E193" s="256"/>
      <c r="F193" s="256"/>
      <c r="G193" s="256"/>
      <c r="H193" s="256"/>
      <c r="I193" s="256"/>
      <c r="J193" s="256"/>
      <c r="K193" s="256"/>
      <c r="L193" s="253"/>
      <c r="M193" s="256"/>
      <c r="N193" s="267"/>
      <c r="O193" s="256"/>
      <c r="P193" s="264"/>
      <c r="Q193" s="253"/>
      <c r="R193" s="253"/>
      <c r="S193" s="312"/>
      <c r="T193" s="256"/>
    </row>
    <row r="194" spans="1:20" ht="55.2" hidden="1">
      <c r="B194" s="246" t="s">
        <v>286</v>
      </c>
      <c r="C194" s="253"/>
      <c r="D194" s="256"/>
      <c r="E194" s="256"/>
      <c r="F194" s="256"/>
      <c r="G194" s="256"/>
      <c r="H194" s="256"/>
      <c r="I194" s="256"/>
      <c r="J194" s="256"/>
      <c r="K194" s="256"/>
      <c r="L194" s="253"/>
      <c r="M194" s="256"/>
      <c r="N194" s="267"/>
      <c r="O194" s="256"/>
      <c r="P194" s="256"/>
      <c r="Q194" s="253"/>
      <c r="R194" s="253"/>
      <c r="S194" s="312"/>
      <c r="T194" s="264"/>
    </row>
    <row r="195" spans="1:20" ht="41.4" hidden="1">
      <c r="B195" s="246" t="s">
        <v>287</v>
      </c>
      <c r="C195" s="253"/>
      <c r="D195" s="256"/>
      <c r="E195" s="256"/>
      <c r="F195" s="256"/>
      <c r="G195" s="256"/>
      <c r="H195" s="256"/>
      <c r="I195" s="256"/>
      <c r="J195" s="256"/>
      <c r="K195" s="256"/>
      <c r="L195" s="253"/>
      <c r="M195" s="256"/>
      <c r="N195" s="264"/>
      <c r="O195" s="256"/>
      <c r="P195" s="256"/>
      <c r="Q195" s="253"/>
      <c r="R195" s="253"/>
      <c r="S195" s="312"/>
      <c r="T195" s="256"/>
    </row>
    <row r="196" spans="1:20" hidden="1">
      <c r="B196" s="268" t="s">
        <v>313</v>
      </c>
      <c r="C196" s="253"/>
      <c r="D196" s="256"/>
      <c r="E196" s="256"/>
      <c r="F196" s="256"/>
      <c r="G196" s="256"/>
      <c r="H196" s="256"/>
      <c r="I196" s="256"/>
      <c r="J196" s="256"/>
      <c r="K196" s="256"/>
      <c r="L196" s="253"/>
      <c r="M196" s="256"/>
      <c r="N196" s="264"/>
      <c r="O196" s="256"/>
      <c r="P196" s="256"/>
      <c r="Q196" s="253"/>
      <c r="R196" s="253"/>
      <c r="S196" s="312"/>
      <c r="T196" s="256"/>
    </row>
    <row r="197" spans="1:20" hidden="1"/>
    <row r="198" spans="1:20" hidden="1"/>
    <row r="199" spans="1:20" hidden="1">
      <c r="B199" s="258" t="s">
        <v>309</v>
      </c>
      <c r="C199" s="558" t="s">
        <v>303</v>
      </c>
      <c r="D199" s="559"/>
      <c r="E199" s="559"/>
      <c r="F199" s="559"/>
      <c r="G199" s="560"/>
      <c r="H199" s="231" t="s">
        <v>305</v>
      </c>
      <c r="I199" s="231" t="s">
        <v>306</v>
      </c>
      <c r="J199" s="561" t="s">
        <v>307</v>
      </c>
      <c r="K199" s="562"/>
      <c r="L199" s="242" t="s">
        <v>310</v>
      </c>
      <c r="M199" s="231" t="s">
        <v>311</v>
      </c>
      <c r="N199" s="232"/>
      <c r="O199" s="232"/>
      <c r="P199" s="231"/>
      <c r="Q199" s="242"/>
      <c r="R199" s="242"/>
      <c r="S199" s="311"/>
      <c r="T199" s="231"/>
    </row>
    <row r="200" spans="1:20" hidden="1">
      <c r="A200" s="257">
        <v>12</v>
      </c>
      <c r="B200" s="261" t="s">
        <v>304</v>
      </c>
      <c r="C200" s="253">
        <v>29</v>
      </c>
      <c r="D200" s="256">
        <v>70</v>
      </c>
      <c r="E200" s="256"/>
      <c r="F200" s="256"/>
      <c r="G200" s="256"/>
      <c r="H200" s="256">
        <v>67</v>
      </c>
      <c r="I200" s="256"/>
      <c r="J200" s="256"/>
      <c r="K200" s="256"/>
      <c r="L200" s="253"/>
      <c r="M200" s="256"/>
      <c r="N200" s="256"/>
      <c r="O200" s="256"/>
      <c r="P200" s="256"/>
      <c r="Q200" s="253"/>
      <c r="R200" s="312"/>
      <c r="S200" s="253"/>
      <c r="T200" s="256"/>
    </row>
    <row r="201" spans="1:20" hidden="1">
      <c r="B201" s="239" t="s">
        <v>225</v>
      </c>
      <c r="C201" s="253"/>
      <c r="D201" s="256"/>
      <c r="E201" s="256"/>
      <c r="F201" s="256"/>
      <c r="G201" s="256"/>
      <c r="H201" s="256"/>
      <c r="I201" s="256"/>
      <c r="J201" s="256"/>
      <c r="K201" s="256"/>
      <c r="L201" s="253"/>
      <c r="M201" s="256"/>
      <c r="N201" s="264"/>
      <c r="O201" s="264"/>
      <c r="P201" s="256"/>
      <c r="Q201" s="312"/>
      <c r="R201" s="253"/>
      <c r="S201" s="312"/>
      <c r="T201" s="264"/>
    </row>
    <row r="202" spans="1:20" hidden="1">
      <c r="B202" s="239" t="s">
        <v>225</v>
      </c>
      <c r="C202" s="253"/>
      <c r="D202" s="256"/>
      <c r="E202" s="256"/>
      <c r="F202" s="256"/>
      <c r="G202" s="256"/>
      <c r="H202" s="256"/>
      <c r="I202" s="256"/>
      <c r="J202" s="256"/>
      <c r="K202" s="256"/>
      <c r="L202" s="253"/>
      <c r="M202" s="256"/>
      <c r="N202" s="264"/>
      <c r="O202" s="264"/>
      <c r="P202" s="256"/>
      <c r="Q202" s="253"/>
      <c r="R202" s="253"/>
      <c r="S202" s="312"/>
      <c r="T202" s="264"/>
    </row>
    <row r="203" spans="1:20" ht="27.6" hidden="1">
      <c r="B203" s="225" t="s">
        <v>281</v>
      </c>
      <c r="C203" s="253"/>
      <c r="D203" s="256"/>
      <c r="E203" s="256"/>
      <c r="F203" s="256"/>
      <c r="G203" s="256"/>
      <c r="H203" s="231"/>
      <c r="I203" s="256"/>
      <c r="J203" s="256"/>
      <c r="K203" s="256"/>
      <c r="L203" s="253"/>
      <c r="M203" s="256"/>
      <c r="N203" s="264"/>
      <c r="O203" s="256"/>
      <c r="P203" s="256"/>
      <c r="Q203" s="253"/>
      <c r="R203" s="253"/>
      <c r="S203" s="312"/>
      <c r="T203" s="256"/>
    </row>
    <row r="204" spans="1:20" ht="55.2" hidden="1">
      <c r="B204" s="246" t="s">
        <v>286</v>
      </c>
      <c r="C204" s="253"/>
      <c r="D204" s="256"/>
      <c r="E204" s="256"/>
      <c r="F204" s="256"/>
      <c r="G204" s="256"/>
      <c r="H204" s="256"/>
      <c r="I204" s="256"/>
      <c r="J204" s="256"/>
      <c r="K204" s="256"/>
      <c r="L204" s="253"/>
      <c r="M204" s="256"/>
      <c r="N204" s="267"/>
      <c r="O204" s="256"/>
      <c r="P204" s="267"/>
      <c r="Q204" s="253"/>
      <c r="R204" s="253"/>
      <c r="S204" s="312"/>
      <c r="T204" s="256"/>
    </row>
    <row r="205" spans="1:20" ht="41.4" hidden="1">
      <c r="B205" s="246" t="s">
        <v>287</v>
      </c>
      <c r="C205" s="253"/>
      <c r="D205" s="256"/>
      <c r="E205" s="256"/>
      <c r="F205" s="256"/>
      <c r="G205" s="256"/>
      <c r="H205" s="256"/>
      <c r="I205" s="256"/>
      <c r="J205" s="256"/>
      <c r="K205" s="256"/>
      <c r="L205" s="253"/>
      <c r="M205" s="256"/>
      <c r="N205" s="264"/>
      <c r="O205" s="256"/>
      <c r="P205" s="256"/>
      <c r="Q205" s="253"/>
      <c r="R205" s="253"/>
      <c r="S205" s="312"/>
      <c r="T205" s="264"/>
    </row>
    <row r="206" spans="1:20" hidden="1">
      <c r="B206" s="268" t="s">
        <v>313</v>
      </c>
      <c r="C206" s="253"/>
      <c r="D206" s="256"/>
      <c r="E206" s="256"/>
      <c r="F206" s="256"/>
      <c r="G206" s="256"/>
      <c r="H206" s="256"/>
      <c r="I206" s="256"/>
      <c r="J206" s="256"/>
      <c r="K206" s="256"/>
      <c r="L206" s="253"/>
      <c r="M206" s="256"/>
      <c r="N206" s="264"/>
      <c r="O206" s="256"/>
      <c r="P206" s="256"/>
      <c r="Q206" s="253"/>
      <c r="R206" s="253"/>
      <c r="S206" s="312"/>
      <c r="T206" s="256"/>
    </row>
    <row r="207" spans="1:20" hidden="1"/>
    <row r="208" spans="1:20" hidden="1"/>
    <row r="209" spans="1:20" hidden="1">
      <c r="A209" s="257">
        <v>13</v>
      </c>
      <c r="B209" s="258" t="s">
        <v>309</v>
      </c>
      <c r="C209" s="558" t="s">
        <v>303</v>
      </c>
      <c r="D209" s="559"/>
      <c r="E209" s="559"/>
      <c r="F209" s="559"/>
      <c r="G209" s="560"/>
      <c r="H209" s="231" t="s">
        <v>305</v>
      </c>
      <c r="I209" s="231" t="s">
        <v>306</v>
      </c>
      <c r="J209" s="561" t="s">
        <v>307</v>
      </c>
      <c r="K209" s="562"/>
      <c r="L209" s="242" t="s">
        <v>310</v>
      </c>
      <c r="M209" s="231" t="s">
        <v>311</v>
      </c>
      <c r="N209" s="232"/>
      <c r="O209" s="232"/>
      <c r="P209" s="231"/>
      <c r="Q209" s="242"/>
      <c r="R209" s="242"/>
      <c r="S209" s="311"/>
      <c r="T209" s="231"/>
    </row>
    <row r="210" spans="1:20" hidden="1">
      <c r="B210" s="261" t="s">
        <v>304</v>
      </c>
      <c r="C210" s="253">
        <v>1</v>
      </c>
      <c r="D210" s="256">
        <v>44</v>
      </c>
      <c r="E210" s="256"/>
      <c r="F210" s="256"/>
      <c r="G210" s="256"/>
      <c r="H210" s="256">
        <v>73</v>
      </c>
      <c r="I210" s="256"/>
      <c r="J210" s="256"/>
      <c r="K210" s="256"/>
      <c r="L210" s="253">
        <v>45</v>
      </c>
      <c r="M210" s="256">
        <v>73</v>
      </c>
      <c r="N210" s="256"/>
      <c r="O210" s="256"/>
      <c r="P210" s="256"/>
      <c r="Q210" s="253"/>
      <c r="R210" s="312"/>
      <c r="S210" s="253"/>
      <c r="T210" s="256"/>
    </row>
    <row r="211" spans="1:20" hidden="1">
      <c r="B211" s="239" t="s">
        <v>225</v>
      </c>
      <c r="C211" s="253"/>
      <c r="D211" s="256"/>
      <c r="E211" s="256"/>
      <c r="F211" s="256"/>
      <c r="G211" s="256"/>
      <c r="H211" s="256"/>
      <c r="I211" s="256"/>
      <c r="J211" s="256"/>
      <c r="K211" s="256"/>
      <c r="L211" s="253"/>
      <c r="M211" s="256"/>
      <c r="N211" s="264"/>
      <c r="O211" s="264"/>
      <c r="P211" s="256"/>
      <c r="Q211" s="312"/>
      <c r="R211" s="253"/>
      <c r="S211" s="312"/>
      <c r="T211" s="264"/>
    </row>
    <row r="212" spans="1:20" hidden="1">
      <c r="B212" s="239" t="s">
        <v>225</v>
      </c>
      <c r="C212" s="253"/>
      <c r="D212" s="256"/>
      <c r="E212" s="256"/>
      <c r="F212" s="256"/>
      <c r="G212" s="256"/>
      <c r="H212" s="256"/>
      <c r="I212" s="256"/>
      <c r="J212" s="256"/>
      <c r="K212" s="256"/>
      <c r="L212" s="253"/>
      <c r="M212" s="256"/>
      <c r="N212" s="264"/>
      <c r="O212" s="264"/>
      <c r="P212" s="256"/>
      <c r="Q212" s="253"/>
      <c r="R212" s="253"/>
      <c r="S212" s="312"/>
      <c r="T212" s="264"/>
    </row>
    <row r="213" spans="1:20" ht="27.6" hidden="1">
      <c r="B213" s="225" t="s">
        <v>281</v>
      </c>
      <c r="C213" s="253"/>
      <c r="D213" s="256"/>
      <c r="E213" s="256"/>
      <c r="F213" s="256"/>
      <c r="G213" s="256"/>
      <c r="H213" s="231"/>
      <c r="I213" s="256"/>
      <c r="J213" s="256"/>
      <c r="K213" s="256"/>
      <c r="L213" s="253"/>
      <c r="M213" s="256"/>
      <c r="N213" s="264"/>
      <c r="O213" s="256"/>
      <c r="P213" s="256"/>
      <c r="Q213" s="253"/>
      <c r="R213" s="253"/>
      <c r="S213" s="312"/>
      <c r="T213" s="256"/>
    </row>
    <row r="214" spans="1:20" hidden="1">
      <c r="B214" s="243" t="s">
        <v>315</v>
      </c>
      <c r="C214" s="253"/>
      <c r="D214" s="256"/>
      <c r="E214" s="256"/>
      <c r="F214" s="256"/>
      <c r="G214" s="256"/>
      <c r="H214" s="256"/>
      <c r="I214" s="256"/>
      <c r="J214" s="256"/>
      <c r="K214" s="256"/>
      <c r="L214" s="253"/>
      <c r="M214" s="256"/>
      <c r="N214" s="264"/>
      <c r="O214" s="256"/>
      <c r="P214" s="256"/>
      <c r="Q214" s="253"/>
      <c r="R214" s="253"/>
      <c r="S214" s="312"/>
      <c r="T214" s="256"/>
    </row>
    <row r="215" spans="1:20" ht="55.2" hidden="1">
      <c r="B215" s="246" t="s">
        <v>286</v>
      </c>
      <c r="C215" s="253"/>
      <c r="D215" s="256"/>
      <c r="E215" s="256"/>
      <c r="F215" s="256"/>
      <c r="G215" s="256"/>
      <c r="H215" s="256"/>
      <c r="I215" s="256"/>
      <c r="J215" s="256"/>
      <c r="K215" s="256"/>
      <c r="L215" s="253"/>
      <c r="M215" s="256"/>
      <c r="N215" s="267"/>
      <c r="O215" s="256"/>
      <c r="P215" s="270"/>
      <c r="Q215" s="253"/>
      <c r="R215" s="253"/>
      <c r="S215" s="312"/>
      <c r="T215" s="264"/>
    </row>
    <row r="216" spans="1:20" ht="41.4" hidden="1">
      <c r="B216" s="246" t="s">
        <v>287</v>
      </c>
      <c r="C216" s="253"/>
      <c r="D216" s="256"/>
      <c r="E216" s="256"/>
      <c r="F216" s="256"/>
      <c r="G216" s="256"/>
      <c r="H216" s="256"/>
      <c r="I216" s="256"/>
      <c r="J216" s="256"/>
      <c r="K216" s="256"/>
      <c r="L216" s="253"/>
      <c r="M216" s="256"/>
      <c r="N216" s="264"/>
      <c r="O216" s="256"/>
      <c r="P216" s="256"/>
      <c r="Q216" s="253"/>
      <c r="R216" s="253"/>
      <c r="S216" s="312"/>
      <c r="T216" s="256"/>
    </row>
    <row r="217" spans="1:20" hidden="1">
      <c r="B217" s="268" t="s">
        <v>313</v>
      </c>
      <c r="C217" s="253"/>
      <c r="D217" s="256"/>
      <c r="E217" s="256"/>
      <c r="F217" s="256"/>
      <c r="G217" s="256"/>
      <c r="H217" s="256"/>
      <c r="I217" s="256"/>
      <c r="J217" s="256"/>
      <c r="K217" s="256"/>
      <c r="L217" s="253"/>
      <c r="M217" s="256"/>
      <c r="N217" s="264"/>
      <c r="O217" s="256"/>
      <c r="P217" s="256"/>
      <c r="Q217" s="253"/>
      <c r="R217" s="253"/>
      <c r="S217" s="312"/>
      <c r="T217" s="256"/>
    </row>
    <row r="218" spans="1:20" hidden="1"/>
    <row r="219" spans="1:20" hidden="1"/>
    <row r="220" spans="1:20" hidden="1">
      <c r="A220" s="257">
        <v>14</v>
      </c>
      <c r="B220" s="258" t="s">
        <v>309</v>
      </c>
      <c r="C220" s="558" t="s">
        <v>303</v>
      </c>
      <c r="D220" s="559"/>
      <c r="E220" s="559"/>
      <c r="F220" s="559"/>
      <c r="G220" s="560"/>
      <c r="H220" s="231" t="s">
        <v>305</v>
      </c>
      <c r="I220" s="231" t="s">
        <v>306</v>
      </c>
      <c r="J220" s="561" t="s">
        <v>307</v>
      </c>
      <c r="K220" s="562"/>
      <c r="L220" s="242" t="s">
        <v>310</v>
      </c>
      <c r="M220" s="231" t="s">
        <v>311</v>
      </c>
      <c r="N220" s="232"/>
      <c r="O220" s="232"/>
      <c r="P220" s="231"/>
      <c r="Q220" s="242"/>
      <c r="R220" s="242"/>
      <c r="S220" s="311"/>
      <c r="T220" s="231"/>
    </row>
    <row r="221" spans="1:20" hidden="1">
      <c r="B221" s="261" t="s">
        <v>304</v>
      </c>
      <c r="C221" s="253">
        <v>32</v>
      </c>
      <c r="D221" s="256"/>
      <c r="E221" s="256"/>
      <c r="F221" s="256"/>
      <c r="G221" s="256"/>
      <c r="H221" s="256">
        <v>198</v>
      </c>
      <c r="I221" s="256"/>
      <c r="J221" s="256"/>
      <c r="K221" s="256">
        <v>10</v>
      </c>
      <c r="L221" s="253"/>
      <c r="M221" s="256">
        <v>198</v>
      </c>
      <c r="N221" s="256"/>
      <c r="O221" s="256"/>
      <c r="P221" s="256"/>
      <c r="Q221" s="253"/>
      <c r="R221" s="312"/>
      <c r="S221" s="253"/>
      <c r="T221" s="256"/>
    </row>
    <row r="222" spans="1:20" hidden="1">
      <c r="B222" s="239" t="s">
        <v>225</v>
      </c>
      <c r="C222" s="253"/>
      <c r="D222" s="256"/>
      <c r="E222" s="256"/>
      <c r="F222" s="256"/>
      <c r="G222" s="256"/>
      <c r="H222" s="256"/>
      <c r="I222" s="256"/>
      <c r="J222" s="256"/>
      <c r="K222" s="256"/>
      <c r="L222" s="253"/>
      <c r="M222" s="256"/>
      <c r="N222" s="264"/>
      <c r="O222" s="264"/>
      <c r="P222" s="256"/>
      <c r="Q222" s="312"/>
      <c r="R222" s="253"/>
      <c r="S222" s="312"/>
      <c r="T222" s="264"/>
    </row>
    <row r="223" spans="1:20" hidden="1">
      <c r="B223" s="239" t="s">
        <v>225</v>
      </c>
      <c r="C223" s="253"/>
      <c r="D223" s="256"/>
      <c r="E223" s="256"/>
      <c r="F223" s="256"/>
      <c r="G223" s="256"/>
      <c r="H223" s="256"/>
      <c r="I223" s="256"/>
      <c r="J223" s="256"/>
      <c r="K223" s="256"/>
      <c r="L223" s="253"/>
      <c r="M223" s="256"/>
      <c r="N223" s="264"/>
      <c r="O223" s="264"/>
      <c r="P223" s="256"/>
      <c r="Q223" s="253"/>
      <c r="R223" s="253"/>
      <c r="S223" s="312"/>
      <c r="T223" s="264"/>
    </row>
    <row r="224" spans="1:20" ht="27.6" hidden="1">
      <c r="B224" s="225" t="s">
        <v>281</v>
      </c>
      <c r="C224" s="253"/>
      <c r="D224" s="256"/>
      <c r="E224" s="256"/>
      <c r="F224" s="256"/>
      <c r="G224" s="256"/>
      <c r="H224" s="231"/>
      <c r="I224" s="256"/>
      <c r="J224" s="256"/>
      <c r="K224" s="256"/>
      <c r="L224" s="253"/>
      <c r="M224" s="256"/>
      <c r="N224" s="264"/>
      <c r="O224" s="256"/>
      <c r="P224" s="256"/>
      <c r="Q224" s="253"/>
      <c r="R224" s="253"/>
      <c r="S224" s="312"/>
      <c r="T224" s="256"/>
    </row>
    <row r="225" spans="1:20" hidden="1">
      <c r="B225" s="243" t="s">
        <v>315</v>
      </c>
      <c r="C225" s="253"/>
      <c r="D225" s="256"/>
      <c r="E225" s="256"/>
      <c r="F225" s="256"/>
      <c r="G225" s="256"/>
      <c r="H225" s="256"/>
      <c r="I225" s="256"/>
      <c r="J225" s="256"/>
      <c r="K225" s="256"/>
      <c r="L225" s="253"/>
      <c r="M225" s="256"/>
      <c r="N225" s="264"/>
      <c r="O225" s="256"/>
      <c r="P225" s="256"/>
      <c r="Q225" s="253"/>
      <c r="R225" s="253"/>
      <c r="S225" s="312"/>
      <c r="T225" s="256"/>
    </row>
    <row r="226" spans="1:20" ht="55.2" hidden="1">
      <c r="B226" s="246" t="s">
        <v>286</v>
      </c>
      <c r="C226" s="253"/>
      <c r="D226" s="256"/>
      <c r="E226" s="256"/>
      <c r="F226" s="256"/>
      <c r="G226" s="256"/>
      <c r="H226" s="256"/>
      <c r="I226" s="256"/>
      <c r="J226" s="256"/>
      <c r="K226" s="256"/>
      <c r="L226" s="253"/>
      <c r="M226" s="256"/>
      <c r="N226" s="267"/>
      <c r="O226" s="256"/>
      <c r="P226" s="270"/>
      <c r="Q226" s="253"/>
      <c r="R226" s="253"/>
      <c r="S226" s="312"/>
      <c r="T226" s="264"/>
    </row>
    <row r="227" spans="1:20" ht="41.4" hidden="1">
      <c r="B227" s="246" t="s">
        <v>287</v>
      </c>
      <c r="C227" s="253"/>
      <c r="D227" s="256"/>
      <c r="E227" s="256"/>
      <c r="F227" s="256"/>
      <c r="G227" s="256"/>
      <c r="H227" s="256"/>
      <c r="I227" s="256"/>
      <c r="J227" s="256"/>
      <c r="K227" s="256"/>
      <c r="L227" s="253"/>
      <c r="M227" s="256"/>
      <c r="N227" s="264"/>
      <c r="O227" s="256"/>
      <c r="P227" s="256"/>
      <c r="Q227" s="253"/>
      <c r="R227" s="253"/>
      <c r="S227" s="312"/>
      <c r="T227" s="256"/>
    </row>
    <row r="228" spans="1:20" hidden="1">
      <c r="B228" s="268" t="s">
        <v>313</v>
      </c>
      <c r="C228" s="253"/>
      <c r="D228" s="256"/>
      <c r="E228" s="256"/>
      <c r="F228" s="256"/>
      <c r="G228" s="256"/>
      <c r="H228" s="256"/>
      <c r="I228" s="256"/>
      <c r="J228" s="256"/>
      <c r="K228" s="256"/>
      <c r="L228" s="253"/>
      <c r="M228" s="256"/>
      <c r="N228" s="264"/>
      <c r="O228" s="256"/>
      <c r="P228" s="256"/>
      <c r="Q228" s="253"/>
      <c r="R228" s="253"/>
      <c r="S228" s="312"/>
      <c r="T228" s="256"/>
    </row>
    <row r="229" spans="1:20" hidden="1"/>
    <row r="230" spans="1:20" hidden="1"/>
    <row r="231" spans="1:20" hidden="1">
      <c r="A231" s="257">
        <v>15</v>
      </c>
      <c r="B231" s="258" t="s">
        <v>309</v>
      </c>
      <c r="C231" s="558" t="s">
        <v>303</v>
      </c>
      <c r="D231" s="559"/>
      <c r="E231" s="559"/>
      <c r="F231" s="559"/>
      <c r="G231" s="560"/>
      <c r="H231" s="231" t="s">
        <v>305</v>
      </c>
      <c r="I231" s="231" t="s">
        <v>306</v>
      </c>
      <c r="J231" s="561" t="s">
        <v>307</v>
      </c>
      <c r="K231" s="562"/>
      <c r="L231" s="242" t="s">
        <v>310</v>
      </c>
      <c r="M231" s="231" t="s">
        <v>311</v>
      </c>
      <c r="N231" s="232"/>
      <c r="O231" s="232"/>
      <c r="P231" s="231"/>
      <c r="Q231" s="242"/>
      <c r="R231" s="242"/>
      <c r="S231" s="311"/>
      <c r="T231" s="231"/>
    </row>
    <row r="232" spans="1:20" hidden="1">
      <c r="B232" s="261" t="s">
        <v>304</v>
      </c>
      <c r="C232" s="253">
        <v>36</v>
      </c>
      <c r="D232" s="256"/>
      <c r="E232" s="256"/>
      <c r="F232" s="256"/>
      <c r="G232" s="256"/>
      <c r="H232" s="256">
        <v>96</v>
      </c>
      <c r="I232" s="256"/>
      <c r="J232" s="256"/>
      <c r="K232" s="256"/>
      <c r="L232" s="253"/>
      <c r="M232" s="256"/>
      <c r="N232" s="256"/>
      <c r="O232" s="256"/>
      <c r="P232" s="256"/>
      <c r="Q232" s="253"/>
      <c r="R232" s="312"/>
      <c r="S232" s="253"/>
      <c r="T232" s="256"/>
    </row>
    <row r="233" spans="1:20" hidden="1">
      <c r="B233" s="239" t="s">
        <v>225</v>
      </c>
      <c r="C233" s="253"/>
      <c r="D233" s="256"/>
      <c r="E233" s="256"/>
      <c r="F233" s="256"/>
      <c r="G233" s="256"/>
      <c r="H233" s="256"/>
      <c r="I233" s="256"/>
      <c r="J233" s="256"/>
      <c r="K233" s="256"/>
      <c r="L233" s="253"/>
      <c r="M233" s="256"/>
      <c r="N233" s="264"/>
      <c r="O233" s="264"/>
      <c r="P233" s="256"/>
      <c r="Q233" s="312"/>
      <c r="R233" s="253"/>
      <c r="S233" s="312"/>
      <c r="T233" s="264"/>
    </row>
    <row r="234" spans="1:20" hidden="1">
      <c r="B234" s="239" t="s">
        <v>225</v>
      </c>
      <c r="C234" s="253"/>
      <c r="D234" s="256"/>
      <c r="E234" s="256"/>
      <c r="F234" s="256"/>
      <c r="G234" s="256"/>
      <c r="H234" s="256"/>
      <c r="I234" s="256"/>
      <c r="J234" s="256"/>
      <c r="K234" s="256"/>
      <c r="L234" s="253"/>
      <c r="M234" s="256"/>
      <c r="N234" s="264"/>
      <c r="O234" s="264"/>
      <c r="P234" s="256"/>
      <c r="Q234" s="253"/>
      <c r="R234" s="253"/>
      <c r="S234" s="312"/>
      <c r="T234" s="264"/>
    </row>
    <row r="235" spans="1:20" ht="27.6" hidden="1">
      <c r="B235" s="225" t="s">
        <v>281</v>
      </c>
      <c r="C235" s="253"/>
      <c r="D235" s="256"/>
      <c r="E235" s="256"/>
      <c r="F235" s="256"/>
      <c r="G235" s="256"/>
      <c r="H235" s="231"/>
      <c r="I235" s="256"/>
      <c r="J235" s="256"/>
      <c r="K235" s="256"/>
      <c r="L235" s="253"/>
      <c r="M235" s="256"/>
      <c r="N235" s="264"/>
      <c r="O235" s="256"/>
      <c r="P235" s="256"/>
      <c r="Q235" s="253"/>
      <c r="R235" s="253"/>
      <c r="S235" s="312"/>
      <c r="T235" s="256"/>
    </row>
    <row r="236" spans="1:20" hidden="1">
      <c r="B236" s="243" t="s">
        <v>315</v>
      </c>
      <c r="C236" s="253"/>
      <c r="D236" s="256"/>
      <c r="E236" s="256"/>
      <c r="F236" s="256"/>
      <c r="G236" s="256"/>
      <c r="H236" s="256"/>
      <c r="I236" s="256"/>
      <c r="J236" s="256"/>
      <c r="K236" s="256"/>
      <c r="L236" s="253"/>
      <c r="M236" s="256"/>
      <c r="N236" s="264"/>
      <c r="O236" s="256"/>
      <c r="P236" s="256"/>
      <c r="Q236" s="253"/>
      <c r="R236" s="253"/>
      <c r="S236" s="312"/>
      <c r="T236" s="256"/>
    </row>
    <row r="237" spans="1:20" ht="55.2" hidden="1">
      <c r="B237" s="246" t="s">
        <v>286</v>
      </c>
      <c r="C237" s="253"/>
      <c r="D237" s="256"/>
      <c r="E237" s="256"/>
      <c r="F237" s="256"/>
      <c r="G237" s="256"/>
      <c r="H237" s="256"/>
      <c r="I237" s="256"/>
      <c r="J237" s="256"/>
      <c r="K237" s="256"/>
      <c r="L237" s="253"/>
      <c r="M237" s="256"/>
      <c r="N237" s="267"/>
      <c r="O237" s="256"/>
      <c r="P237" s="267"/>
      <c r="Q237" s="253"/>
      <c r="R237" s="253"/>
      <c r="S237" s="312"/>
      <c r="T237" s="264"/>
    </row>
    <row r="238" spans="1:20" ht="41.4" hidden="1">
      <c r="B238" s="246" t="s">
        <v>287</v>
      </c>
      <c r="C238" s="253"/>
      <c r="D238" s="256"/>
      <c r="E238" s="256"/>
      <c r="F238" s="256"/>
      <c r="G238" s="256"/>
      <c r="H238" s="256"/>
      <c r="I238" s="256"/>
      <c r="J238" s="256"/>
      <c r="K238" s="256"/>
      <c r="L238" s="253"/>
      <c r="M238" s="256"/>
      <c r="N238" s="264"/>
      <c r="O238" s="256"/>
      <c r="P238" s="256"/>
      <c r="Q238" s="253"/>
      <c r="R238" s="253"/>
      <c r="S238" s="312"/>
      <c r="T238" s="256"/>
    </row>
    <row r="239" spans="1:20" hidden="1">
      <c r="B239" s="268" t="s">
        <v>313</v>
      </c>
      <c r="C239" s="253"/>
      <c r="D239" s="256"/>
      <c r="E239" s="256"/>
      <c r="F239" s="256"/>
      <c r="G239" s="256"/>
      <c r="H239" s="256"/>
      <c r="I239" s="256"/>
      <c r="J239" s="256"/>
      <c r="K239" s="256"/>
      <c r="L239" s="253"/>
      <c r="M239" s="256"/>
      <c r="N239" s="264"/>
      <c r="O239" s="256"/>
      <c r="P239" s="256"/>
      <c r="Q239" s="253"/>
      <c r="R239" s="253"/>
      <c r="S239" s="312"/>
      <c r="T239" s="256"/>
    </row>
    <row r="240" spans="1:20" hidden="1"/>
    <row r="241" spans="1:20" hidden="1"/>
    <row r="242" spans="1:20" hidden="1">
      <c r="A242" s="257">
        <v>17</v>
      </c>
      <c r="B242" s="258" t="s">
        <v>309</v>
      </c>
      <c r="C242" s="558" t="s">
        <v>303</v>
      </c>
      <c r="D242" s="559"/>
      <c r="E242" s="559"/>
      <c r="F242" s="559"/>
      <c r="G242" s="560"/>
      <c r="H242" s="231" t="s">
        <v>305</v>
      </c>
      <c r="I242" s="231" t="s">
        <v>306</v>
      </c>
      <c r="J242" s="561" t="s">
        <v>307</v>
      </c>
      <c r="K242" s="562"/>
      <c r="L242" s="242" t="s">
        <v>310</v>
      </c>
      <c r="M242" s="231" t="s">
        <v>311</v>
      </c>
      <c r="N242" s="232"/>
      <c r="O242" s="232"/>
      <c r="P242" s="231"/>
      <c r="Q242" s="242"/>
      <c r="R242" s="242"/>
      <c r="S242" s="311"/>
      <c r="T242" s="231"/>
    </row>
    <row r="243" spans="1:20" hidden="1">
      <c r="B243" s="261" t="s">
        <v>304</v>
      </c>
      <c r="C243" s="253">
        <v>32</v>
      </c>
      <c r="D243" s="256"/>
      <c r="E243" s="256"/>
      <c r="F243" s="256"/>
      <c r="G243" s="256"/>
      <c r="H243" s="256">
        <v>212</v>
      </c>
      <c r="I243" s="256"/>
      <c r="J243" s="256"/>
      <c r="K243" s="256"/>
      <c r="L243" s="253"/>
      <c r="M243" s="256"/>
      <c r="N243" s="256"/>
      <c r="O243" s="256"/>
      <c r="P243" s="256"/>
      <c r="Q243" s="253"/>
      <c r="R243" s="312"/>
      <c r="S243" s="253"/>
      <c r="T243" s="256"/>
    </row>
    <row r="244" spans="1:20" hidden="1">
      <c r="B244" s="239" t="s">
        <v>225</v>
      </c>
      <c r="C244" s="253"/>
      <c r="D244" s="256"/>
      <c r="E244" s="256"/>
      <c r="F244" s="256"/>
      <c r="G244" s="256"/>
      <c r="H244" s="256"/>
      <c r="I244" s="256"/>
      <c r="J244" s="256"/>
      <c r="K244" s="256"/>
      <c r="L244" s="253"/>
      <c r="M244" s="256"/>
      <c r="N244" s="264"/>
      <c r="O244" s="264"/>
      <c r="P244" s="256"/>
      <c r="Q244" s="312"/>
      <c r="R244" s="253"/>
      <c r="S244" s="312"/>
      <c r="T244" s="264"/>
    </row>
    <row r="245" spans="1:20" hidden="1">
      <c r="B245" s="239" t="s">
        <v>225</v>
      </c>
      <c r="C245" s="253"/>
      <c r="D245" s="256"/>
      <c r="E245" s="256"/>
      <c r="F245" s="256"/>
      <c r="G245" s="256"/>
      <c r="H245" s="256"/>
      <c r="I245" s="256"/>
      <c r="J245" s="256"/>
      <c r="K245" s="256"/>
      <c r="L245" s="253"/>
      <c r="M245" s="256"/>
      <c r="N245" s="264"/>
      <c r="O245" s="264"/>
      <c r="P245" s="256"/>
      <c r="Q245" s="253"/>
      <c r="R245" s="253"/>
      <c r="S245" s="312"/>
      <c r="T245" s="264"/>
    </row>
    <row r="246" spans="1:20" ht="27.6" hidden="1">
      <c r="B246" s="225" t="s">
        <v>281</v>
      </c>
      <c r="C246" s="253"/>
      <c r="D246" s="256"/>
      <c r="E246" s="256"/>
      <c r="F246" s="256"/>
      <c r="G246" s="256"/>
      <c r="H246" s="231"/>
      <c r="I246" s="256"/>
      <c r="J246" s="256"/>
      <c r="K246" s="256"/>
      <c r="L246" s="253"/>
      <c r="M246" s="256"/>
      <c r="N246" s="264"/>
      <c r="O246" s="256"/>
      <c r="P246" s="256"/>
      <c r="Q246" s="253"/>
      <c r="R246" s="253"/>
      <c r="S246" s="312"/>
      <c r="T246" s="256"/>
    </row>
    <row r="247" spans="1:20" hidden="1">
      <c r="B247" s="243" t="s">
        <v>315</v>
      </c>
      <c r="C247" s="253"/>
      <c r="D247" s="256"/>
      <c r="E247" s="256"/>
      <c r="F247" s="256"/>
      <c r="G247" s="256"/>
      <c r="H247" s="256"/>
      <c r="I247" s="256"/>
      <c r="J247" s="256"/>
      <c r="K247" s="256"/>
      <c r="L247" s="253"/>
      <c r="M247" s="256"/>
      <c r="N247" s="264"/>
      <c r="O247" s="256"/>
      <c r="P247" s="256"/>
      <c r="Q247" s="253"/>
      <c r="R247" s="253"/>
      <c r="S247" s="312"/>
      <c r="T247" s="256"/>
    </row>
    <row r="248" spans="1:20" ht="55.2" hidden="1">
      <c r="B248" s="246" t="s">
        <v>286</v>
      </c>
      <c r="C248" s="253"/>
      <c r="D248" s="256"/>
      <c r="E248" s="256"/>
      <c r="F248" s="256"/>
      <c r="G248" s="256"/>
      <c r="H248" s="256"/>
      <c r="I248" s="256"/>
      <c r="J248" s="256"/>
      <c r="K248" s="256"/>
      <c r="L248" s="253"/>
      <c r="M248" s="256"/>
      <c r="N248" s="267"/>
      <c r="O248" s="256"/>
      <c r="P248" s="267"/>
      <c r="Q248" s="253"/>
      <c r="R248" s="253"/>
      <c r="S248" s="312"/>
      <c r="T248" s="264"/>
    </row>
    <row r="249" spans="1:20" ht="41.4" hidden="1">
      <c r="B249" s="246" t="s">
        <v>287</v>
      </c>
      <c r="C249" s="253"/>
      <c r="D249" s="256"/>
      <c r="E249" s="256"/>
      <c r="F249" s="256"/>
      <c r="G249" s="256"/>
      <c r="H249" s="256"/>
      <c r="I249" s="256"/>
      <c r="J249" s="256"/>
      <c r="K249" s="256"/>
      <c r="L249" s="253"/>
      <c r="M249" s="256"/>
      <c r="N249" s="264"/>
      <c r="O249" s="256"/>
      <c r="P249" s="256"/>
      <c r="Q249" s="253"/>
      <c r="R249" s="253"/>
      <c r="S249" s="312"/>
      <c r="T249" s="256"/>
    </row>
    <row r="250" spans="1:20" hidden="1">
      <c r="B250" s="268" t="s">
        <v>313</v>
      </c>
      <c r="C250" s="253"/>
      <c r="D250" s="256"/>
      <c r="E250" s="256"/>
      <c r="F250" s="256"/>
      <c r="G250" s="256"/>
      <c r="H250" s="256"/>
      <c r="I250" s="256"/>
      <c r="J250" s="256"/>
      <c r="K250" s="256"/>
      <c r="L250" s="253"/>
      <c r="M250" s="256"/>
      <c r="N250" s="264"/>
      <c r="O250" s="256"/>
      <c r="P250" s="256"/>
      <c r="Q250" s="253"/>
      <c r="R250" s="253"/>
      <c r="S250" s="312"/>
      <c r="T250" s="256"/>
    </row>
    <row r="251" spans="1:20" hidden="1"/>
    <row r="252" spans="1:20" hidden="1"/>
    <row r="253" spans="1:20" hidden="1">
      <c r="A253" s="257">
        <v>18</v>
      </c>
      <c r="B253" s="258" t="s">
        <v>309</v>
      </c>
      <c r="C253" s="558" t="s">
        <v>303</v>
      </c>
      <c r="D253" s="559"/>
      <c r="E253" s="559"/>
      <c r="F253" s="559"/>
      <c r="G253" s="560"/>
      <c r="H253" s="231" t="s">
        <v>305</v>
      </c>
      <c r="I253" s="231" t="s">
        <v>306</v>
      </c>
      <c r="J253" s="561" t="s">
        <v>307</v>
      </c>
      <c r="K253" s="562"/>
      <c r="L253" s="242" t="s">
        <v>310</v>
      </c>
      <c r="M253" s="231" t="s">
        <v>311</v>
      </c>
      <c r="N253" s="232"/>
      <c r="O253" s="232"/>
      <c r="P253" s="231"/>
      <c r="Q253" s="242"/>
      <c r="R253" s="242"/>
      <c r="S253" s="311"/>
      <c r="T253" s="231"/>
    </row>
    <row r="254" spans="1:20" hidden="1">
      <c r="B254" s="261" t="s">
        <v>304</v>
      </c>
      <c r="C254" s="253">
        <v>31</v>
      </c>
      <c r="D254" s="256">
        <v>32</v>
      </c>
      <c r="E254" s="256"/>
      <c r="F254" s="256"/>
      <c r="G254" s="256"/>
      <c r="H254" s="256">
        <v>76</v>
      </c>
      <c r="I254" s="256"/>
      <c r="J254" s="256"/>
      <c r="K254" s="256"/>
      <c r="L254" s="253"/>
      <c r="M254" s="256"/>
      <c r="N254" s="256"/>
      <c r="O254" s="256"/>
      <c r="P254" s="256"/>
      <c r="Q254" s="253"/>
      <c r="R254" s="312"/>
      <c r="S254" s="253"/>
      <c r="T254" s="256"/>
    </row>
    <row r="255" spans="1:20" hidden="1">
      <c r="B255" s="239" t="s">
        <v>225</v>
      </c>
      <c r="C255" s="253"/>
      <c r="D255" s="256"/>
      <c r="E255" s="256"/>
      <c r="F255" s="256"/>
      <c r="G255" s="256"/>
      <c r="H255" s="256"/>
      <c r="I255" s="256"/>
      <c r="J255" s="256"/>
      <c r="K255" s="256"/>
      <c r="L255" s="253"/>
      <c r="M255" s="256"/>
      <c r="N255" s="264"/>
      <c r="O255" s="264"/>
      <c r="P255" s="256"/>
      <c r="Q255" s="312"/>
      <c r="R255" s="253"/>
      <c r="S255" s="312"/>
      <c r="T255" s="264"/>
    </row>
    <row r="256" spans="1:20" hidden="1">
      <c r="B256" s="239" t="s">
        <v>225</v>
      </c>
      <c r="C256" s="253"/>
      <c r="D256" s="256"/>
      <c r="E256" s="256"/>
      <c r="F256" s="256"/>
      <c r="G256" s="256"/>
      <c r="H256" s="256"/>
      <c r="I256" s="256"/>
      <c r="J256" s="256"/>
      <c r="K256" s="256"/>
      <c r="L256" s="253"/>
      <c r="M256" s="256"/>
      <c r="N256" s="264"/>
      <c r="O256" s="264"/>
      <c r="P256" s="256"/>
      <c r="Q256" s="253"/>
      <c r="R256" s="253"/>
      <c r="S256" s="312"/>
      <c r="T256" s="264"/>
    </row>
    <row r="257" spans="2:20" ht="27.6" hidden="1">
      <c r="B257" s="225" t="s">
        <v>281</v>
      </c>
      <c r="C257" s="253"/>
      <c r="D257" s="256"/>
      <c r="E257" s="256"/>
      <c r="F257" s="256"/>
      <c r="G257" s="256"/>
      <c r="H257" s="231"/>
      <c r="I257" s="256"/>
      <c r="J257" s="256"/>
      <c r="K257" s="256"/>
      <c r="L257" s="253"/>
      <c r="M257" s="256"/>
      <c r="N257" s="264"/>
      <c r="O257" s="256"/>
      <c r="P257" s="256"/>
      <c r="Q257" s="253"/>
      <c r="R257" s="253"/>
      <c r="S257" s="312"/>
      <c r="T257" s="256"/>
    </row>
    <row r="258" spans="2:20" hidden="1">
      <c r="B258" s="225" t="s">
        <v>315</v>
      </c>
      <c r="C258" s="253"/>
      <c r="D258" s="256"/>
      <c r="E258" s="256"/>
      <c r="F258" s="256"/>
      <c r="G258" s="256"/>
      <c r="H258" s="231"/>
      <c r="I258" s="256"/>
      <c r="J258" s="256"/>
      <c r="K258" s="256"/>
      <c r="L258" s="253"/>
      <c r="M258" s="256"/>
      <c r="N258" s="264"/>
      <c r="O258" s="256"/>
      <c r="P258" s="256"/>
      <c r="Q258" s="253"/>
      <c r="R258" s="253"/>
      <c r="S258" s="312"/>
      <c r="T258" s="256"/>
    </row>
    <row r="259" spans="2:20" ht="55.2" hidden="1">
      <c r="B259" s="246" t="s">
        <v>286</v>
      </c>
      <c r="C259" s="253"/>
      <c r="D259" s="256"/>
      <c r="E259" s="256"/>
      <c r="F259" s="256"/>
      <c r="G259" s="256"/>
      <c r="H259" s="256"/>
      <c r="I259" s="256"/>
      <c r="J259" s="256"/>
      <c r="K259" s="256"/>
      <c r="L259" s="253"/>
      <c r="M259" s="256"/>
      <c r="N259" s="267"/>
      <c r="O259" s="256"/>
      <c r="P259" s="267"/>
      <c r="Q259" s="253"/>
      <c r="R259" s="253"/>
      <c r="S259" s="312"/>
      <c r="T259" s="264"/>
    </row>
    <row r="260" spans="2:20" ht="41.4" hidden="1">
      <c r="B260" s="246" t="s">
        <v>287</v>
      </c>
      <c r="C260" s="253"/>
      <c r="D260" s="256"/>
      <c r="E260" s="256"/>
      <c r="F260" s="256"/>
      <c r="G260" s="256"/>
      <c r="H260" s="256"/>
      <c r="I260" s="256"/>
      <c r="J260" s="256"/>
      <c r="K260" s="256"/>
      <c r="L260" s="253"/>
      <c r="M260" s="256"/>
      <c r="N260" s="264"/>
      <c r="O260" s="256"/>
      <c r="P260" s="256"/>
      <c r="Q260" s="253"/>
      <c r="R260" s="253"/>
      <c r="S260" s="312"/>
      <c r="T260" s="256"/>
    </row>
    <row r="261" spans="2:20" hidden="1">
      <c r="B261" s="268" t="s">
        <v>313</v>
      </c>
      <c r="C261" s="253"/>
      <c r="D261" s="256"/>
      <c r="E261" s="256"/>
      <c r="F261" s="256"/>
      <c r="G261" s="256"/>
      <c r="H261" s="256"/>
      <c r="I261" s="256"/>
      <c r="J261" s="256"/>
      <c r="K261" s="256"/>
      <c r="L261" s="253"/>
      <c r="M261" s="256"/>
      <c r="N261" s="264"/>
      <c r="O261" s="256"/>
      <c r="P261" s="256"/>
      <c r="Q261" s="253"/>
      <c r="R261" s="253"/>
      <c r="S261" s="312"/>
      <c r="T261" s="256"/>
    </row>
    <row r="262" spans="2:20" hidden="1"/>
    <row r="263" spans="2:20" hidden="1"/>
    <row r="264" spans="2:20">
      <c r="N264" s="252"/>
      <c r="O264" s="252"/>
    </row>
    <row r="265" spans="2:20">
      <c r="Q265" s="233"/>
    </row>
    <row r="269" spans="2:20">
      <c r="S269" s="233"/>
    </row>
  </sheetData>
  <mergeCells count="40">
    <mergeCell ref="A7:V7"/>
    <mergeCell ref="E10:I10"/>
    <mergeCell ref="J10:M10"/>
    <mergeCell ref="N10:V10"/>
    <mergeCell ref="A127:M127"/>
    <mergeCell ref="N11:T11"/>
    <mergeCell ref="C15:C17"/>
    <mergeCell ref="C27:C28"/>
    <mergeCell ref="C29:C30"/>
    <mergeCell ref="C38:C39"/>
    <mergeCell ref="C49:C50"/>
    <mergeCell ref="C60:C61"/>
    <mergeCell ref="C69:C70"/>
    <mergeCell ref="C81:C83"/>
    <mergeCell ref="C85:C86"/>
    <mergeCell ref="C111:C112"/>
    <mergeCell ref="C139:G139"/>
    <mergeCell ref="J139:K139"/>
    <mergeCell ref="C149:G149"/>
    <mergeCell ref="J149:K149"/>
    <mergeCell ref="C157:G157"/>
    <mergeCell ref="J157:K157"/>
    <mergeCell ref="C168:G168"/>
    <mergeCell ref="J168:K168"/>
    <mergeCell ref="C178:G178"/>
    <mergeCell ref="J178:K178"/>
    <mergeCell ref="C188:G188"/>
    <mergeCell ref="J188:K188"/>
    <mergeCell ref="C199:G199"/>
    <mergeCell ref="J199:K199"/>
    <mergeCell ref="C209:G209"/>
    <mergeCell ref="J209:K209"/>
    <mergeCell ref="C220:G220"/>
    <mergeCell ref="J220:K220"/>
    <mergeCell ref="C231:G231"/>
    <mergeCell ref="J231:K231"/>
    <mergeCell ref="C242:G242"/>
    <mergeCell ref="J242:K242"/>
    <mergeCell ref="C253:G253"/>
    <mergeCell ref="J253:K253"/>
  </mergeCells>
  <pageMargins left="0" right="0" top="0" bottom="0" header="0.31496062992125984" footer="0.31496062992125984"/>
  <pageSetup paperSize="9" scale="5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X69"/>
  <sheetViews>
    <sheetView tabSelected="1" workbookViewId="0">
      <selection activeCell="A5" sqref="A5:L5"/>
    </sheetView>
  </sheetViews>
  <sheetFormatPr defaultColWidth="9.109375" defaultRowHeight="13.8"/>
  <cols>
    <col min="1" max="1" width="14" style="182" customWidth="1"/>
    <col min="2" max="2" width="22.33203125" style="182" customWidth="1"/>
    <col min="3" max="3" width="9.6640625" style="182" customWidth="1"/>
    <col min="4" max="4" width="11.21875" style="182" customWidth="1"/>
    <col min="5" max="5" width="18.33203125" style="182" hidden="1" customWidth="1"/>
    <col min="6" max="6" width="13.33203125" style="182" hidden="1" customWidth="1"/>
    <col min="7" max="7" width="11.5546875" style="182" customWidth="1"/>
    <col min="8" max="8" width="12" style="182" customWidth="1"/>
    <col min="9" max="9" width="15.5546875" style="182" customWidth="1"/>
    <col min="10" max="10" width="15.6640625" style="182" customWidth="1"/>
    <col min="11" max="11" width="14.6640625" style="182" customWidth="1"/>
    <col min="12" max="12" width="14.33203125" style="182" customWidth="1"/>
    <col min="13" max="13" width="5.6640625" style="182" customWidth="1"/>
    <col min="14" max="14" width="6" style="182" customWidth="1"/>
    <col min="15" max="15" width="6.5546875" style="182" hidden="1" customWidth="1"/>
    <col min="16" max="16" width="11.109375" style="182" hidden="1" customWidth="1"/>
    <col min="17" max="17" width="11.6640625" style="182" hidden="1" customWidth="1"/>
    <col min="18" max="18" width="10.33203125" style="182" hidden="1" customWidth="1"/>
    <col min="19" max="19" width="9.88671875" style="182" hidden="1" customWidth="1"/>
    <col min="20" max="20" width="11.109375" style="182" hidden="1" customWidth="1"/>
    <col min="21" max="21" width="12" style="182" hidden="1" customWidth="1"/>
    <col min="22" max="22" width="11.109375" style="182" hidden="1" customWidth="1"/>
    <col min="23" max="23" width="10.88671875" style="182" hidden="1" customWidth="1"/>
    <col min="24" max="24" width="12.6640625" style="182" hidden="1" customWidth="1"/>
    <col min="25" max="25" width="11.109375" style="182" hidden="1" customWidth="1"/>
    <col min="26" max="26" width="12.77734375" style="182" hidden="1" customWidth="1"/>
    <col min="27" max="27" width="10.88671875" style="182" customWidth="1"/>
    <col min="28" max="28" width="6.88671875" style="182" customWidth="1"/>
    <col min="29" max="29" width="7.109375" style="182" hidden="1" customWidth="1"/>
    <col min="30" max="30" width="7.6640625" style="182" hidden="1" customWidth="1"/>
    <col min="31" max="31" width="10.88671875" style="182" hidden="1" customWidth="1"/>
    <col min="32" max="32" width="12.44140625" style="182" hidden="1" customWidth="1"/>
    <col min="33" max="33" width="11.44140625" style="182" hidden="1" customWidth="1"/>
    <col min="34" max="34" width="12" style="182" hidden="1" customWidth="1"/>
    <col min="35" max="35" width="11.109375" style="182" hidden="1" customWidth="1"/>
    <col min="36" max="36" width="12" style="182" hidden="1" customWidth="1"/>
    <col min="37" max="37" width="12.33203125" style="182" hidden="1" customWidth="1"/>
    <col min="38" max="40" width="13" style="182" hidden="1" customWidth="1"/>
    <col min="41" max="41" width="13" style="182" customWidth="1"/>
    <col min="42" max="42" width="9.109375" style="182" hidden="1" customWidth="1"/>
    <col min="43" max="43" width="9.5546875" style="182" hidden="1" customWidth="1"/>
    <col min="44" max="44" width="10.6640625" style="182" hidden="1" customWidth="1"/>
    <col min="45" max="45" width="6.5546875" style="182" hidden="1" customWidth="1"/>
    <col min="46" max="46" width="10.33203125" style="182" hidden="1" customWidth="1"/>
    <col min="47" max="47" width="10.6640625" style="182" hidden="1" customWidth="1"/>
    <col min="48" max="48" width="7.109375" style="182" hidden="1" customWidth="1"/>
    <col min="49" max="49" width="9.6640625" style="182" hidden="1" customWidth="1"/>
    <col min="50" max="50" width="9.109375" style="182" customWidth="1"/>
    <col min="51" max="16384" width="9.109375" style="182"/>
  </cols>
  <sheetData>
    <row r="1" spans="1:49">
      <c r="K1" s="186" t="s">
        <v>175</v>
      </c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G1" s="117"/>
    </row>
    <row r="2" spans="1:49" hidden="1">
      <c r="K2" s="186" t="s">
        <v>326</v>
      </c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G2" s="117"/>
    </row>
    <row r="3" spans="1:49" hidden="1">
      <c r="K3" s="186" t="s">
        <v>175</v>
      </c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G3" s="117"/>
    </row>
    <row r="4" spans="1:49">
      <c r="K4" s="186" t="s">
        <v>421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G4" s="117"/>
    </row>
    <row r="5" spans="1:49">
      <c r="A5" s="535" t="s">
        <v>368</v>
      </c>
      <c r="B5" s="535"/>
      <c r="C5" s="535"/>
      <c r="D5" s="535"/>
      <c r="E5" s="535"/>
      <c r="F5" s="535"/>
      <c r="G5" s="535"/>
      <c r="H5" s="535"/>
      <c r="I5" s="535"/>
      <c r="J5" s="535"/>
      <c r="K5" s="535"/>
      <c r="L5" s="535"/>
      <c r="M5" s="332"/>
      <c r="N5" s="397"/>
      <c r="O5" s="399"/>
      <c r="P5" s="397"/>
      <c r="Q5" s="397"/>
      <c r="R5" s="399"/>
      <c r="S5" s="399"/>
      <c r="T5" s="446"/>
      <c r="U5" s="446"/>
      <c r="V5" s="397"/>
      <c r="W5" s="447"/>
      <c r="X5" s="447"/>
      <c r="Y5" s="447"/>
      <c r="Z5" s="447"/>
      <c r="AA5" s="447"/>
      <c r="AB5" s="397"/>
      <c r="AC5" s="81"/>
      <c r="AD5" s="81"/>
      <c r="AE5" s="81"/>
      <c r="AF5" s="81"/>
      <c r="AG5" s="81"/>
      <c r="AH5" s="81"/>
      <c r="AI5" s="81"/>
    </row>
    <row r="6" spans="1:49">
      <c r="A6" s="191" t="s">
        <v>156</v>
      </c>
    </row>
    <row r="7" spans="1:49" ht="35.4" customHeight="1">
      <c r="A7" s="587" t="s">
        <v>3</v>
      </c>
      <c r="B7" s="587" t="s">
        <v>81</v>
      </c>
      <c r="C7" s="587" t="s">
        <v>4</v>
      </c>
      <c r="D7" s="578" t="s">
        <v>5</v>
      </c>
      <c r="E7" s="579"/>
      <c r="F7" s="579"/>
      <c r="G7" s="579"/>
      <c r="H7" s="580"/>
      <c r="I7" s="581" t="s">
        <v>6</v>
      </c>
      <c r="J7" s="581" t="s">
        <v>7</v>
      </c>
      <c r="K7" s="581"/>
      <c r="L7" s="581"/>
      <c r="M7" s="345"/>
      <c r="N7" s="345"/>
      <c r="O7" s="591" t="s">
        <v>396</v>
      </c>
      <c r="P7" s="583" t="s">
        <v>370</v>
      </c>
      <c r="Q7" s="582" t="s">
        <v>371</v>
      </c>
      <c r="R7" s="375"/>
      <c r="S7" s="375"/>
      <c r="T7" s="582" t="s">
        <v>404</v>
      </c>
      <c r="U7" s="582" t="s">
        <v>405</v>
      </c>
      <c r="V7" s="471"/>
      <c r="W7" s="471"/>
      <c r="X7" s="502" t="s">
        <v>415</v>
      </c>
      <c r="Y7" s="582" t="s">
        <v>418</v>
      </c>
      <c r="Z7" s="582" t="s">
        <v>419</v>
      </c>
      <c r="AA7" s="345"/>
      <c r="AB7" s="345"/>
      <c r="AE7" s="582" t="s">
        <v>342</v>
      </c>
      <c r="AF7" s="582" t="s">
        <v>343</v>
      </c>
      <c r="AG7" s="582" t="s">
        <v>340</v>
      </c>
      <c r="AH7" s="582" t="s">
        <v>341</v>
      </c>
      <c r="AI7" s="582" t="s">
        <v>344</v>
      </c>
      <c r="AJ7" s="582" t="s">
        <v>345</v>
      </c>
      <c r="AK7" s="582" t="s">
        <v>348</v>
      </c>
      <c r="AL7" s="582" t="s">
        <v>349</v>
      </c>
      <c r="AM7" s="582" t="s">
        <v>364</v>
      </c>
      <c r="AN7" s="582" t="s">
        <v>365</v>
      </c>
      <c r="AO7" s="375"/>
    </row>
    <row r="8" spans="1:49" ht="22.95" customHeight="1">
      <c r="A8" s="588"/>
      <c r="B8" s="588"/>
      <c r="C8" s="588"/>
      <c r="D8" s="492" t="s">
        <v>260</v>
      </c>
      <c r="E8" s="493" t="s">
        <v>208</v>
      </c>
      <c r="F8" s="293" t="s">
        <v>206</v>
      </c>
      <c r="G8" s="492" t="s">
        <v>325</v>
      </c>
      <c r="H8" s="492" t="s">
        <v>369</v>
      </c>
      <c r="I8" s="581"/>
      <c r="J8" s="492" t="s">
        <v>260</v>
      </c>
      <c r="K8" s="492" t="s">
        <v>325</v>
      </c>
      <c r="L8" s="492" t="s">
        <v>369</v>
      </c>
      <c r="M8" s="346"/>
      <c r="N8" s="346"/>
      <c r="O8" s="591"/>
      <c r="P8" s="583"/>
      <c r="Q8" s="582"/>
      <c r="R8" s="375"/>
      <c r="S8" s="375"/>
      <c r="T8" s="582"/>
      <c r="U8" s="582"/>
      <c r="V8" s="471"/>
      <c r="W8" s="471"/>
      <c r="X8" s="503" t="s">
        <v>416</v>
      </c>
      <c r="Y8" s="582"/>
      <c r="Z8" s="582"/>
      <c r="AA8" s="346"/>
      <c r="AB8" s="346"/>
      <c r="AE8" s="582"/>
      <c r="AF8" s="582"/>
      <c r="AG8" s="582"/>
      <c r="AH8" s="582"/>
      <c r="AI8" s="582"/>
      <c r="AJ8" s="582"/>
      <c r="AK8" s="582"/>
      <c r="AL8" s="582"/>
      <c r="AM8" s="582"/>
      <c r="AN8" s="582"/>
      <c r="AO8" s="375"/>
    </row>
    <row r="9" spans="1:49" ht="28.2" customHeight="1">
      <c r="A9" s="480" t="s">
        <v>13</v>
      </c>
      <c r="B9" s="480" t="s">
        <v>14</v>
      </c>
      <c r="C9" s="480" t="s">
        <v>15</v>
      </c>
      <c r="D9" s="480" t="s">
        <v>16</v>
      </c>
      <c r="E9" s="480" t="s">
        <v>16</v>
      </c>
      <c r="F9" s="480" t="s">
        <v>16</v>
      </c>
      <c r="G9" s="480" t="s">
        <v>16</v>
      </c>
      <c r="H9" s="480" t="s">
        <v>16</v>
      </c>
      <c r="I9" s="480" t="s">
        <v>17</v>
      </c>
      <c r="J9" s="480" t="s">
        <v>17</v>
      </c>
      <c r="K9" s="480" t="s">
        <v>17</v>
      </c>
      <c r="L9" s="480" t="s">
        <v>17</v>
      </c>
      <c r="M9" s="347"/>
      <c r="N9" s="347"/>
      <c r="O9" s="388" t="s">
        <v>374</v>
      </c>
      <c r="P9" s="437"/>
      <c r="Q9" s="319" t="s">
        <v>372</v>
      </c>
      <c r="R9" s="319" t="s">
        <v>378</v>
      </c>
      <c r="S9" s="319" t="s">
        <v>379</v>
      </c>
      <c r="U9" s="498">
        <v>304168.17</v>
      </c>
      <c r="W9" s="498"/>
      <c r="X9" s="347"/>
      <c r="Z9" s="498">
        <f>145778.83</f>
        <v>145778.82999999999</v>
      </c>
      <c r="AA9" s="347"/>
      <c r="AB9" s="347"/>
      <c r="AD9" s="401" t="s">
        <v>373</v>
      </c>
      <c r="AF9" s="319" t="s">
        <v>331</v>
      </c>
      <c r="AH9" s="370">
        <v>182795.33</v>
      </c>
      <c r="AJ9" s="370">
        <v>288911</v>
      </c>
      <c r="AL9" s="385">
        <v>11366.666670000001</v>
      </c>
      <c r="AM9" s="370"/>
      <c r="AN9" s="385">
        <v>8333.3333299999995</v>
      </c>
      <c r="AO9" s="370"/>
    </row>
    <row r="10" spans="1:49" ht="10.199999999999999" customHeight="1">
      <c r="A10" s="216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348"/>
      <c r="N10" s="348"/>
      <c r="O10" s="406"/>
      <c r="P10" s="437"/>
      <c r="Q10" s="319" t="s">
        <v>332</v>
      </c>
      <c r="R10" s="319" t="s">
        <v>332</v>
      </c>
      <c r="S10" s="319" t="s">
        <v>332</v>
      </c>
      <c r="U10" s="319" t="s">
        <v>332</v>
      </c>
      <c r="W10" s="319"/>
      <c r="X10" s="500" t="s">
        <v>417</v>
      </c>
      <c r="Z10" s="319" t="s">
        <v>332</v>
      </c>
      <c r="AA10" s="348"/>
      <c r="AB10" s="348"/>
      <c r="AD10" s="402"/>
      <c r="AF10" s="319" t="s">
        <v>332</v>
      </c>
      <c r="AH10" s="319" t="s">
        <v>332</v>
      </c>
      <c r="AJ10" s="319" t="s">
        <v>332</v>
      </c>
      <c r="AL10" s="319" t="s">
        <v>332</v>
      </c>
      <c r="AM10" s="319"/>
      <c r="AN10" s="319"/>
      <c r="AO10" s="319"/>
    </row>
    <row r="11" spans="1:49" ht="73.95" customHeight="1">
      <c r="A11" s="478" t="s">
        <v>157</v>
      </c>
      <c r="B11" s="479" t="s">
        <v>329</v>
      </c>
      <c r="C11" s="480" t="s">
        <v>177</v>
      </c>
      <c r="D11" s="495">
        <v>11376</v>
      </c>
      <c r="E11" s="495"/>
      <c r="F11" s="495"/>
      <c r="G11" s="495">
        <f t="shared" ref="G11:G16" si="0">D11</f>
        <v>11376</v>
      </c>
      <c r="H11" s="495">
        <f t="shared" ref="H11:H16" si="1">G11</f>
        <v>11376</v>
      </c>
      <c r="I11" s="481">
        <f t="shared" ref="I11:I16" si="2">J11/D11</f>
        <v>309.56260724331929</v>
      </c>
      <c r="J11" s="481">
        <f>3071637.22+$U$9-0.02+$Z$9+0.02</f>
        <v>3521584.22</v>
      </c>
      <c r="K11" s="481">
        <f>(G11*P11)+$S$40-$U$50-0.02</f>
        <v>2864617.6533333319</v>
      </c>
      <c r="L11" s="481">
        <f>(H11*P11)+$S$40-$U$50-0.02</f>
        <v>2864617.6533333319</v>
      </c>
      <c r="M11" s="353"/>
      <c r="N11" s="353"/>
      <c r="O11" s="421">
        <v>11376</v>
      </c>
      <c r="P11" s="438">
        <f>267+3.01</f>
        <v>270.01</v>
      </c>
      <c r="Q11" s="440">
        <f>P11*O11+3.46</f>
        <v>3071637.2199999997</v>
      </c>
      <c r="R11" s="413">
        <f>(G11*P11)+$S$40</f>
        <v>4771501.003333332</v>
      </c>
      <c r="S11" s="459">
        <f>(H11*P11)+$S$40</f>
        <v>4771501.003333332</v>
      </c>
      <c r="T11" s="461">
        <f>U11/O11</f>
        <v>296.74801072433189</v>
      </c>
      <c r="U11" s="462">
        <f>Q11+$U$9-0.02</f>
        <v>3375805.3699999996</v>
      </c>
      <c r="V11" s="353"/>
      <c r="W11" s="353"/>
      <c r="X11" s="501">
        <v>28500137.739999998</v>
      </c>
      <c r="Y11" s="427">
        <f>Z11/O11</f>
        <v>309.56260724331923</v>
      </c>
      <c r="Z11" s="440">
        <f>U11+$Z$9+0.02</f>
        <v>3521584.2199999997</v>
      </c>
      <c r="AA11" s="353"/>
      <c r="AB11" s="353"/>
      <c r="AC11" s="322">
        <v>221.75</v>
      </c>
      <c r="AD11" s="403">
        <v>21600</v>
      </c>
      <c r="AE11" s="327">
        <v>199</v>
      </c>
      <c r="AF11" s="320">
        <v>4298400</v>
      </c>
      <c r="AG11" s="327">
        <f t="shared" ref="AG11:AG16" si="3">AH11/AD11</f>
        <v>207.46274675925926</v>
      </c>
      <c r="AH11" s="320">
        <f t="shared" ref="AH11:AH16" si="4">AF11+$AH$9</f>
        <v>4481195.33</v>
      </c>
      <c r="AI11" s="327">
        <f t="shared" ref="AI11:AI16" si="5">AJ11/AD11</f>
        <v>220.83825601851854</v>
      </c>
      <c r="AJ11" s="320">
        <f>AH11+$AJ$9</f>
        <v>4770106.33</v>
      </c>
      <c r="AK11" s="327">
        <f t="shared" ref="AK11:AK16" si="6">AL11/AD11</f>
        <v>221.36449058657408</v>
      </c>
      <c r="AL11" s="320">
        <f>AJ11+$AL$9</f>
        <v>4781472.9966700003</v>
      </c>
      <c r="AM11" s="327">
        <f t="shared" ref="AM11:AM16" si="7">AN11/AD11</f>
        <v>221.75029305555555</v>
      </c>
      <c r="AN11" s="320">
        <f>AL11+$AN$9</f>
        <v>4789806.33</v>
      </c>
      <c r="AO11" s="320"/>
    </row>
    <row r="12" spans="1:49" ht="63" customHeight="1">
      <c r="A12" s="478" t="s">
        <v>157</v>
      </c>
      <c r="B12" s="479" t="s">
        <v>242</v>
      </c>
      <c r="C12" s="480" t="s">
        <v>177</v>
      </c>
      <c r="D12" s="495">
        <v>8856</v>
      </c>
      <c r="E12" s="495">
        <v>13582</v>
      </c>
      <c r="F12" s="495">
        <v>13582</v>
      </c>
      <c r="G12" s="495">
        <f t="shared" si="0"/>
        <v>8856</v>
      </c>
      <c r="H12" s="495">
        <f t="shared" si="1"/>
        <v>8856</v>
      </c>
      <c r="I12" s="481">
        <f t="shared" si="2"/>
        <v>288.80702348690153</v>
      </c>
      <c r="J12" s="481">
        <f>2107728+$U$9+$Z$9</f>
        <v>2557675</v>
      </c>
      <c r="K12" s="481">
        <f>(G12*P12)+$S$40-$U$50</f>
        <v>1900711.9133333322</v>
      </c>
      <c r="L12" s="481">
        <f t="shared" ref="L12:L16" si="8">(H12*P12)+$S$40-$U$50</f>
        <v>1900711.9133333322</v>
      </c>
      <c r="M12" s="349"/>
      <c r="N12" s="349"/>
      <c r="O12" s="421">
        <v>8856</v>
      </c>
      <c r="P12" s="438">
        <f>194.24+43.76</f>
        <v>238</v>
      </c>
      <c r="Q12" s="413">
        <f>P12*O12</f>
        <v>2107728</v>
      </c>
      <c r="R12" s="413">
        <f>(G12*P12)+$S$40</f>
        <v>3807595.2433333322</v>
      </c>
      <c r="S12" s="459">
        <f>(H12*P12)+$S$40</f>
        <v>3807595.2433333322</v>
      </c>
      <c r="T12" s="461">
        <f t="shared" ref="T12:T16" si="9">U12/O12</f>
        <v>272.34599932249324</v>
      </c>
      <c r="U12" s="463">
        <f t="shared" ref="U12:U16" si="10">Q12+$U$9</f>
        <v>2411896.17</v>
      </c>
      <c r="V12" s="349"/>
      <c r="W12" s="349"/>
      <c r="X12" s="504">
        <f>(X11-V19)/6</f>
        <v>145778.8333333327</v>
      </c>
      <c r="Y12" s="427">
        <f t="shared" ref="Y12:Y16" si="11">Z12/O12</f>
        <v>288.80702348690153</v>
      </c>
      <c r="Z12" s="413">
        <f t="shared" ref="Z12:Z16" si="12">U12+$Z$9</f>
        <v>2557675</v>
      </c>
      <c r="AA12" s="349"/>
      <c r="AB12" s="349"/>
      <c r="AC12" s="322">
        <v>229.88</v>
      </c>
      <c r="AD12" s="403">
        <v>15696</v>
      </c>
      <c r="AE12" s="327">
        <v>198.58</v>
      </c>
      <c r="AF12" s="320">
        <v>3116836.4</v>
      </c>
      <c r="AG12" s="327">
        <f t="shared" si="3"/>
        <v>210.22118565239552</v>
      </c>
      <c r="AH12" s="320">
        <f t="shared" si="4"/>
        <v>3299631.73</v>
      </c>
      <c r="AI12" s="327">
        <f t="shared" si="5"/>
        <v>228.6278497706422</v>
      </c>
      <c r="AJ12" s="320">
        <f t="shared" ref="AJ12:AJ16" si="13">AH12+$AJ$9</f>
        <v>3588542.73</v>
      </c>
      <c r="AK12" s="327">
        <f t="shared" si="6"/>
        <v>229.35202578172783</v>
      </c>
      <c r="AL12" s="320">
        <f t="shared" ref="AL12:AL16" si="14">AJ12+$AL$9</f>
        <v>3599909.3966700002</v>
      </c>
      <c r="AM12" s="327">
        <f t="shared" si="7"/>
        <v>229.88294661060144</v>
      </c>
      <c r="AN12" s="320">
        <f t="shared" ref="AN12:AN16" si="15">AL12+$AN$9</f>
        <v>3608242.73</v>
      </c>
      <c r="AO12" s="320"/>
    </row>
    <row r="13" spans="1:49" ht="71.400000000000006" customHeight="1">
      <c r="A13" s="478" t="s">
        <v>157</v>
      </c>
      <c r="B13" s="479" t="s">
        <v>291</v>
      </c>
      <c r="C13" s="480" t="s">
        <v>177</v>
      </c>
      <c r="D13" s="495">
        <v>8640</v>
      </c>
      <c r="E13" s="495"/>
      <c r="F13" s="495"/>
      <c r="G13" s="495">
        <f t="shared" si="0"/>
        <v>8640</v>
      </c>
      <c r="H13" s="495">
        <f t="shared" si="1"/>
        <v>8640</v>
      </c>
      <c r="I13" s="481">
        <f t="shared" si="2"/>
        <v>294.27719907407408</v>
      </c>
      <c r="J13" s="481">
        <f>2092608+$U$9+$Z$9</f>
        <v>2542555</v>
      </c>
      <c r="K13" s="481">
        <f t="shared" ref="K13:K16" si="16">(G13*P13)+$S$40-$U$50</f>
        <v>1885591.9133333326</v>
      </c>
      <c r="L13" s="481">
        <f t="shared" si="8"/>
        <v>1885591.9133333326</v>
      </c>
      <c r="M13" s="349"/>
      <c r="N13" s="349"/>
      <c r="O13" s="421">
        <v>8640</v>
      </c>
      <c r="P13" s="438">
        <f>197.02+45.18</f>
        <v>242.20000000000002</v>
      </c>
      <c r="Q13" s="413">
        <f>P13*O13</f>
        <v>2092608.0000000002</v>
      </c>
      <c r="R13" s="413">
        <f t="shared" ref="R13:R16" si="17">(G13*P13)+$S$40</f>
        <v>3792475.2433333327</v>
      </c>
      <c r="S13" s="459">
        <f t="shared" ref="S13:S16" si="18">(H13*P13)+$S$40</f>
        <v>3792475.2433333327</v>
      </c>
      <c r="T13" s="461">
        <f t="shared" si="9"/>
        <v>277.40464930555561</v>
      </c>
      <c r="U13" s="463">
        <f t="shared" si="10"/>
        <v>2396776.1700000004</v>
      </c>
      <c r="V13" s="349"/>
      <c r="W13" s="349"/>
      <c r="X13" s="349"/>
      <c r="Y13" s="427">
        <f t="shared" si="11"/>
        <v>294.27719907407413</v>
      </c>
      <c r="Z13" s="413">
        <f t="shared" si="12"/>
        <v>2542555.0000000005</v>
      </c>
      <c r="AA13" s="349"/>
      <c r="AB13" s="349"/>
      <c r="AC13" s="322">
        <v>267.45</v>
      </c>
      <c r="AD13" s="403">
        <v>7200</v>
      </c>
      <c r="AE13" s="327">
        <v>199.2</v>
      </c>
      <c r="AF13" s="320">
        <v>1434240</v>
      </c>
      <c r="AG13" s="327">
        <f t="shared" si="3"/>
        <v>224.5882402777778</v>
      </c>
      <c r="AH13" s="320">
        <f t="shared" si="4"/>
        <v>1617035.33</v>
      </c>
      <c r="AI13" s="327">
        <f t="shared" si="5"/>
        <v>264.71476805555557</v>
      </c>
      <c r="AJ13" s="320">
        <f t="shared" si="13"/>
        <v>1905946.33</v>
      </c>
      <c r="AK13" s="327">
        <f t="shared" si="6"/>
        <v>266.29347175972225</v>
      </c>
      <c r="AL13" s="320">
        <f t="shared" si="14"/>
        <v>1917312.99667</v>
      </c>
      <c r="AM13" s="327">
        <f t="shared" si="7"/>
        <v>267.45087916666665</v>
      </c>
      <c r="AN13" s="320">
        <f t="shared" si="15"/>
        <v>1925646.33</v>
      </c>
      <c r="AO13" s="320"/>
    </row>
    <row r="14" spans="1:49" ht="62.4" customHeight="1">
      <c r="A14" s="478" t="s">
        <v>157</v>
      </c>
      <c r="B14" s="479" t="s">
        <v>243</v>
      </c>
      <c r="C14" s="480" t="s">
        <v>177</v>
      </c>
      <c r="D14" s="495">
        <v>15084</v>
      </c>
      <c r="E14" s="495">
        <v>13271</v>
      </c>
      <c r="F14" s="495">
        <v>13271</v>
      </c>
      <c r="G14" s="495">
        <f t="shared" si="0"/>
        <v>15084</v>
      </c>
      <c r="H14" s="495">
        <f t="shared" si="1"/>
        <v>15084</v>
      </c>
      <c r="I14" s="481">
        <f t="shared" si="2"/>
        <v>260.82942190400422</v>
      </c>
      <c r="J14" s="481">
        <f>3484404+$U$9+$Z$9</f>
        <v>3934351</v>
      </c>
      <c r="K14" s="481">
        <f t="shared" si="16"/>
        <v>3277387.9133333322</v>
      </c>
      <c r="L14" s="481">
        <f t="shared" si="8"/>
        <v>3277387.9133333322</v>
      </c>
      <c r="M14" s="349"/>
      <c r="N14" s="349"/>
      <c r="O14" s="421">
        <v>15084</v>
      </c>
      <c r="P14" s="438">
        <f>184.63+46.37</f>
        <v>231</v>
      </c>
      <c r="Q14" s="413">
        <f>P14*O14</f>
        <v>3484404</v>
      </c>
      <c r="R14" s="413">
        <f t="shared" si="17"/>
        <v>5184271.2433333322</v>
      </c>
      <c r="S14" s="459">
        <f t="shared" si="18"/>
        <v>5184271.2433333322</v>
      </c>
      <c r="T14" s="461">
        <f t="shared" si="9"/>
        <v>251.16495425616546</v>
      </c>
      <c r="U14" s="463">
        <f t="shared" si="10"/>
        <v>3788572.17</v>
      </c>
      <c r="V14" s="349"/>
      <c r="W14" s="349"/>
      <c r="X14" s="349"/>
      <c r="Y14" s="427">
        <f t="shared" si="11"/>
        <v>260.82942190400422</v>
      </c>
      <c r="Z14" s="413">
        <f t="shared" si="12"/>
        <v>3934351</v>
      </c>
      <c r="AA14" s="349"/>
      <c r="AB14" s="349"/>
      <c r="AC14" s="322">
        <v>238.88</v>
      </c>
      <c r="AD14" s="403">
        <v>12240</v>
      </c>
      <c r="AE14" s="327">
        <v>198.73</v>
      </c>
      <c r="AF14" s="320">
        <v>2432455.2000000002</v>
      </c>
      <c r="AG14" s="327">
        <f t="shared" si="3"/>
        <v>213.66425898692813</v>
      </c>
      <c r="AH14" s="320">
        <f t="shared" si="4"/>
        <v>2615250.5300000003</v>
      </c>
      <c r="AI14" s="327">
        <f t="shared" si="5"/>
        <v>237.26809885620918</v>
      </c>
      <c r="AJ14" s="320">
        <f t="shared" si="13"/>
        <v>2904161.5300000003</v>
      </c>
      <c r="AK14" s="327">
        <f t="shared" si="6"/>
        <v>238.19674809395428</v>
      </c>
      <c r="AL14" s="320">
        <f t="shared" si="14"/>
        <v>2915528.1966700004</v>
      </c>
      <c r="AM14" s="327">
        <f t="shared" si="7"/>
        <v>238.87757598039218</v>
      </c>
      <c r="AN14" s="320">
        <f t="shared" si="15"/>
        <v>2923861.5300000003</v>
      </c>
      <c r="AO14" s="320"/>
    </row>
    <row r="15" spans="1:49" ht="76.2" customHeight="1">
      <c r="A15" s="478" t="s">
        <v>157</v>
      </c>
      <c r="B15" s="479" t="s">
        <v>244</v>
      </c>
      <c r="C15" s="480" t="s">
        <v>177</v>
      </c>
      <c r="D15" s="495">
        <v>46224</v>
      </c>
      <c r="E15" s="495">
        <v>49974</v>
      </c>
      <c r="F15" s="495">
        <v>49974</v>
      </c>
      <c r="G15" s="495">
        <f t="shared" si="0"/>
        <v>46224</v>
      </c>
      <c r="H15" s="495">
        <f t="shared" si="1"/>
        <v>46224</v>
      </c>
      <c r="I15" s="481">
        <f t="shared" si="2"/>
        <v>251.7440559016961</v>
      </c>
      <c r="J15" s="481">
        <f>11186670.24+$U$9+$Z$9</f>
        <v>11636617.24</v>
      </c>
      <c r="K15" s="481">
        <f t="shared" si="16"/>
        <v>10979654.153333332</v>
      </c>
      <c r="L15" s="481">
        <f t="shared" si="8"/>
        <v>10979654.153333332</v>
      </c>
      <c r="M15" s="349"/>
      <c r="N15" s="349"/>
      <c r="O15" s="421">
        <v>46224</v>
      </c>
      <c r="P15" s="438">
        <f>197.34+44.67</f>
        <v>242.01</v>
      </c>
      <c r="Q15" s="413">
        <f>P15*O15</f>
        <v>11186670.24</v>
      </c>
      <c r="R15" s="413">
        <f t="shared" si="17"/>
        <v>12886537.483333332</v>
      </c>
      <c r="S15" s="459">
        <f t="shared" si="18"/>
        <v>12886537.483333332</v>
      </c>
      <c r="T15" s="461">
        <f t="shared" si="9"/>
        <v>248.59030828141226</v>
      </c>
      <c r="U15" s="463">
        <f t="shared" si="10"/>
        <v>11490838.41</v>
      </c>
      <c r="V15" s="349"/>
      <c r="W15" s="349"/>
      <c r="X15" s="349"/>
      <c r="Y15" s="427">
        <f t="shared" si="11"/>
        <v>251.7440559016961</v>
      </c>
      <c r="Z15" s="413">
        <f t="shared" si="12"/>
        <v>11636617.24</v>
      </c>
      <c r="AA15" s="349"/>
      <c r="AB15" s="349"/>
      <c r="AC15" s="322">
        <v>212.43</v>
      </c>
      <c r="AD15" s="403">
        <v>38916</v>
      </c>
      <c r="AE15" s="327">
        <v>199.8</v>
      </c>
      <c r="AF15" s="320">
        <v>7775416.7999999998</v>
      </c>
      <c r="AG15" s="327">
        <f t="shared" si="3"/>
        <v>204.49717673964435</v>
      </c>
      <c r="AH15" s="320">
        <f t="shared" si="4"/>
        <v>7958212.1299999999</v>
      </c>
      <c r="AI15" s="327">
        <f t="shared" si="5"/>
        <v>211.92114117586596</v>
      </c>
      <c r="AJ15" s="320">
        <f t="shared" si="13"/>
        <v>8247123.1299999999</v>
      </c>
      <c r="AK15" s="327">
        <f t="shared" si="6"/>
        <v>212.21322326729367</v>
      </c>
      <c r="AL15" s="320">
        <f t="shared" si="14"/>
        <v>8258489.7966700001</v>
      </c>
      <c r="AM15" s="327">
        <f t="shared" si="7"/>
        <v>212.42735969781066</v>
      </c>
      <c r="AN15" s="320">
        <f t="shared" si="15"/>
        <v>8266823.1299999999</v>
      </c>
      <c r="AO15" s="320"/>
      <c r="AS15" s="319" t="s">
        <v>337</v>
      </c>
      <c r="AV15" s="319" t="s">
        <v>337</v>
      </c>
    </row>
    <row r="16" spans="1:49" ht="89.4" customHeight="1">
      <c r="A16" s="479" t="s">
        <v>157</v>
      </c>
      <c r="B16" s="479" t="s">
        <v>241</v>
      </c>
      <c r="C16" s="480" t="s">
        <v>177</v>
      </c>
      <c r="D16" s="495">
        <v>16596</v>
      </c>
      <c r="E16" s="495">
        <v>39042</v>
      </c>
      <c r="F16" s="495">
        <v>39042</v>
      </c>
      <c r="G16" s="495">
        <f t="shared" si="0"/>
        <v>16596</v>
      </c>
      <c r="H16" s="495">
        <f t="shared" si="1"/>
        <v>16596</v>
      </c>
      <c r="I16" s="481">
        <f t="shared" si="2"/>
        <v>259.5417739214268</v>
      </c>
      <c r="J16" s="481">
        <f>3857408.28+$U$9+$Z$9</f>
        <v>4307355.2799999993</v>
      </c>
      <c r="K16" s="481">
        <f t="shared" si="16"/>
        <v>3650392.1933333324</v>
      </c>
      <c r="L16" s="481">
        <f t="shared" si="8"/>
        <v>3650392.1933333324</v>
      </c>
      <c r="M16" s="349"/>
      <c r="N16" s="349"/>
      <c r="O16" s="421">
        <v>16596</v>
      </c>
      <c r="P16" s="438">
        <f>192.32+40.11</f>
        <v>232.43</v>
      </c>
      <c r="Q16" s="413">
        <f>P16*O16</f>
        <v>3857408.2800000003</v>
      </c>
      <c r="R16" s="413">
        <f t="shared" si="17"/>
        <v>5557275.5233333325</v>
      </c>
      <c r="S16" s="459">
        <f t="shared" si="18"/>
        <v>5557275.5233333325</v>
      </c>
      <c r="T16" s="461">
        <f t="shared" si="9"/>
        <v>250.75780007230659</v>
      </c>
      <c r="U16" s="463">
        <f t="shared" si="10"/>
        <v>4161576.45</v>
      </c>
      <c r="V16" s="349"/>
      <c r="W16" s="349"/>
      <c r="X16" s="349"/>
      <c r="Y16" s="427">
        <f t="shared" si="11"/>
        <v>259.54177392142685</v>
      </c>
      <c r="Z16" s="413">
        <f t="shared" si="12"/>
        <v>4307355.28</v>
      </c>
      <c r="AA16" s="349"/>
      <c r="AB16" s="349"/>
      <c r="AC16" s="398">
        <v>219.87</v>
      </c>
      <c r="AD16" s="403">
        <v>18540</v>
      </c>
      <c r="AE16" s="327">
        <v>193.36</v>
      </c>
      <c r="AF16" s="320">
        <v>3584894.4</v>
      </c>
      <c r="AG16" s="327">
        <f t="shared" si="3"/>
        <v>203.21951078748651</v>
      </c>
      <c r="AH16" s="320">
        <f t="shared" si="4"/>
        <v>3767689.73</v>
      </c>
      <c r="AI16" s="327">
        <f t="shared" si="5"/>
        <v>218.80262837108953</v>
      </c>
      <c r="AJ16" s="320">
        <f t="shared" si="13"/>
        <v>4056600.73</v>
      </c>
      <c r="AK16" s="327">
        <f t="shared" si="6"/>
        <v>219.41571718824164</v>
      </c>
      <c r="AL16" s="320">
        <f t="shared" si="14"/>
        <v>4067967.3966700002</v>
      </c>
      <c r="AM16" s="327">
        <f t="shared" si="7"/>
        <v>219.86519579288026</v>
      </c>
      <c r="AN16" s="320">
        <f t="shared" si="15"/>
        <v>4076300.73</v>
      </c>
      <c r="AO16" s="320"/>
      <c r="AQ16" s="342" t="s">
        <v>336</v>
      </c>
      <c r="AR16" s="333" t="s">
        <v>334</v>
      </c>
      <c r="AS16" s="361">
        <f>D11+D12+D13+D14+D15+D16</f>
        <v>106776</v>
      </c>
      <c r="AT16" s="334">
        <f>AT17/AS16</f>
        <v>6.5244770360380837</v>
      </c>
      <c r="AU16" s="335" t="s">
        <v>335</v>
      </c>
      <c r="AV16" s="335">
        <f>D11+D12+D13+D14+D15+D16</f>
        <v>106776</v>
      </c>
      <c r="AW16" s="336">
        <f>AW17/AV16</f>
        <v>16.234603281636321</v>
      </c>
    </row>
    <row r="17" spans="1:50" ht="31.95" customHeight="1">
      <c r="A17" s="482" t="s">
        <v>249</v>
      </c>
      <c r="B17" s="483" t="s">
        <v>235</v>
      </c>
      <c r="C17" s="480"/>
      <c r="D17" s="484">
        <f>SUM(D11:D16)</f>
        <v>106776</v>
      </c>
      <c r="E17" s="484">
        <f>SUM(E11:E16)</f>
        <v>115869</v>
      </c>
      <c r="F17" s="484">
        <f>SUM(F11:F16)</f>
        <v>115869</v>
      </c>
      <c r="G17" s="484">
        <f>SUM(G11:G16)</f>
        <v>106776</v>
      </c>
      <c r="H17" s="484">
        <f>SUM(H11:H16)</f>
        <v>106776</v>
      </c>
      <c r="I17" s="458">
        <f>AVERAGE(I11:I16)+0.00037</f>
        <v>277.46071692190361</v>
      </c>
      <c r="J17" s="458">
        <f>SUM(J11:J16)</f>
        <v>28500137.740000002</v>
      </c>
      <c r="K17" s="458">
        <f>SUM(K11:K16)</f>
        <v>24558355.739999991</v>
      </c>
      <c r="L17" s="458">
        <f>SUM(L11:L16)</f>
        <v>24558355.739999991</v>
      </c>
      <c r="M17" s="354"/>
      <c r="N17" s="354"/>
      <c r="O17" s="422">
        <f>SUM(O11:O16)</f>
        <v>106776</v>
      </c>
      <c r="P17" s="423"/>
      <c r="Q17" s="424">
        <f>SUM(Q11:Q16)</f>
        <v>25800455.740000002</v>
      </c>
      <c r="R17" s="424">
        <f>SUM(R11:R16)</f>
        <v>35999655.739999995</v>
      </c>
      <c r="S17" s="460">
        <f>SUM(S11:S16)</f>
        <v>35999655.739999995</v>
      </c>
      <c r="T17" s="424"/>
      <c r="U17" s="424">
        <f>SUM(U11:U16)</f>
        <v>27625464.739999998</v>
      </c>
      <c r="V17" s="354"/>
      <c r="W17" s="497" t="s">
        <v>413</v>
      </c>
      <c r="X17" s="505" t="s">
        <v>414</v>
      </c>
      <c r="Y17" s="506"/>
      <c r="Z17" s="424">
        <f>SUM(Z11:Z16)</f>
        <v>28500137.740000002</v>
      </c>
      <c r="AA17" s="354"/>
      <c r="AB17" s="354"/>
      <c r="AC17" s="322">
        <v>231.71</v>
      </c>
      <c r="AD17" s="404">
        <f>SUM(AD11:AD16)</f>
        <v>114192</v>
      </c>
      <c r="AF17" s="326">
        <f>SUM(AF11:AF16)</f>
        <v>22642242.800000001</v>
      </c>
      <c r="AG17" s="322">
        <f>1388260+5445800+21848112</f>
        <v>28682172</v>
      </c>
      <c r="AH17" s="328">
        <f>SUM(AH11:AH16)+0.02</f>
        <v>23739014.800000001</v>
      </c>
      <c r="AI17" s="324"/>
      <c r="AJ17" s="371">
        <f>SUM(AJ11:AJ16)+0.02</f>
        <v>25472480.800000001</v>
      </c>
      <c r="AK17" s="323"/>
      <c r="AL17" s="328">
        <f>SUM(AL11:AL16)+0.02</f>
        <v>25540680.800020002</v>
      </c>
      <c r="AN17" s="328">
        <f>SUM(AN11:AN16)+0.02</f>
        <v>25590680.800000001</v>
      </c>
      <c r="AP17" s="355" t="s">
        <v>338</v>
      </c>
      <c r="AQ17" s="343">
        <v>36875264.799999997</v>
      </c>
      <c r="AR17" s="340">
        <v>37571922.359999999</v>
      </c>
      <c r="AS17" s="341">
        <f>AR17/AQ17</f>
        <v>1.018892272741049</v>
      </c>
      <c r="AT17" s="340">
        <f>AR17-AQ17</f>
        <v>696657.56000000238</v>
      </c>
      <c r="AU17" s="337">
        <v>39305388.359999999</v>
      </c>
      <c r="AV17" s="338">
        <f>AU17/AR17</f>
        <v>1.0461372719604438</v>
      </c>
      <c r="AW17" s="339">
        <f>AU17-AR17</f>
        <v>1733466</v>
      </c>
    </row>
    <row r="18" spans="1:50" ht="95.4" customHeight="1">
      <c r="A18" s="478" t="s">
        <v>157</v>
      </c>
      <c r="B18" s="479" t="s">
        <v>330</v>
      </c>
      <c r="C18" s="480" t="s">
        <v>177</v>
      </c>
      <c r="D18" s="494">
        <v>12960</v>
      </c>
      <c r="E18" s="494">
        <v>12960</v>
      </c>
      <c r="F18" s="494">
        <v>12960</v>
      </c>
      <c r="G18" s="494">
        <v>12960</v>
      </c>
      <c r="H18" s="494">
        <f t="shared" ref="H18:H23" si="19">G18</f>
        <v>12960</v>
      </c>
      <c r="I18" s="481">
        <f t="shared" ref="I18:I23" si="20">T18</f>
        <v>121.3814598765432</v>
      </c>
      <c r="J18" s="481">
        <f>D18*I18</f>
        <v>1573103.72</v>
      </c>
      <c r="K18" s="481">
        <f>G18*X18</f>
        <v>1770970.3866666667</v>
      </c>
      <c r="L18" s="481">
        <f>H18*X18</f>
        <v>1770970.3866666667</v>
      </c>
      <c r="M18" s="349"/>
      <c r="N18" s="349"/>
      <c r="O18" s="435">
        <v>12960</v>
      </c>
      <c r="P18" s="431">
        <v>124.03</v>
      </c>
      <c r="Q18" s="413">
        <v>1607428.72</v>
      </c>
      <c r="R18" s="405"/>
      <c r="S18" s="405"/>
      <c r="T18" s="413">
        <f t="shared" ref="T18:T23" si="21">U18/O18</f>
        <v>121.3814598765432</v>
      </c>
      <c r="U18" s="463">
        <f t="shared" ref="U18:U23" si="22">Q18-$V$23</f>
        <v>1573103.72</v>
      </c>
      <c r="V18" s="367" t="s">
        <v>406</v>
      </c>
      <c r="W18" s="477">
        <f>U18+$W$46</f>
        <v>1770970.3866666667</v>
      </c>
      <c r="X18" s="496">
        <f>W18/O18</f>
        <v>136.64894958847736</v>
      </c>
      <c r="Y18" s="473"/>
      <c r="Z18" s="473"/>
      <c r="AA18" s="473"/>
      <c r="AB18" s="405"/>
      <c r="AC18" s="412"/>
      <c r="AD18" s="400"/>
      <c r="AE18" s="320">
        <v>112.98</v>
      </c>
      <c r="AF18" s="322">
        <f>AE18*D18</f>
        <v>1464220.8</v>
      </c>
      <c r="AG18" s="325"/>
      <c r="AH18" s="367" t="s">
        <v>333</v>
      </c>
      <c r="AI18" s="380" t="s">
        <v>354</v>
      </c>
      <c r="AJ18" s="381">
        <f>AJ35</f>
        <v>25472480.800000001</v>
      </c>
      <c r="AK18" s="382" t="s">
        <v>355</v>
      </c>
      <c r="AL18" s="373">
        <f>AJ40</f>
        <v>25540680.800000001</v>
      </c>
      <c r="AM18" s="388" t="s">
        <v>366</v>
      </c>
      <c r="AN18" s="389">
        <f>AJ43</f>
        <v>25590680.800000001</v>
      </c>
      <c r="AP18" s="355" t="s">
        <v>339</v>
      </c>
      <c r="AQ18" s="360">
        <v>22132020.66</v>
      </c>
      <c r="AR18" s="358">
        <v>23739014.800000001</v>
      </c>
      <c r="AS18" s="359">
        <f>AR18/AQ18</f>
        <v>1.0726094632156375</v>
      </c>
      <c r="AT18" s="358">
        <f>AR18-AQ18</f>
        <v>1606994.1400000006</v>
      </c>
      <c r="AU18" s="357">
        <v>23992138</v>
      </c>
      <c r="AV18" s="364">
        <f>AU18/AR18</f>
        <v>1.0106627508400221</v>
      </c>
      <c r="AW18" s="357">
        <f>AU18-AR18</f>
        <v>253123.19999999925</v>
      </c>
    </row>
    <row r="19" spans="1:50" ht="93" customHeight="1">
      <c r="A19" s="478" t="s">
        <v>157</v>
      </c>
      <c r="B19" s="479" t="s">
        <v>319</v>
      </c>
      <c r="C19" s="480" t="s">
        <v>177</v>
      </c>
      <c r="D19" s="494">
        <v>10584</v>
      </c>
      <c r="E19" s="494">
        <v>10584</v>
      </c>
      <c r="F19" s="494">
        <v>10584</v>
      </c>
      <c r="G19" s="494">
        <v>10584</v>
      </c>
      <c r="H19" s="494">
        <f t="shared" si="19"/>
        <v>10584</v>
      </c>
      <c r="I19" s="481">
        <f t="shared" si="20"/>
        <v>119.86689720332578</v>
      </c>
      <c r="J19" s="481">
        <f t="shared" ref="J19" si="23">D19*I19</f>
        <v>1268671.24</v>
      </c>
      <c r="K19" s="481">
        <f t="shared" ref="K19:K23" si="24">G19*X19</f>
        <v>1466537.9066666667</v>
      </c>
      <c r="L19" s="481">
        <f t="shared" ref="L19:L23" si="25">H19*X19</f>
        <v>1466537.9066666667</v>
      </c>
      <c r="M19" s="349"/>
      <c r="N19" s="349"/>
      <c r="O19" s="435">
        <v>10584</v>
      </c>
      <c r="P19" s="431">
        <v>123.11</v>
      </c>
      <c r="Q19" s="413">
        <v>1302996.24</v>
      </c>
      <c r="R19" s="405"/>
      <c r="S19" s="405"/>
      <c r="T19" s="413">
        <f t="shared" si="21"/>
        <v>119.86689720332578</v>
      </c>
      <c r="U19" s="463">
        <f t="shared" si="22"/>
        <v>1268671.24</v>
      </c>
      <c r="V19" s="368">
        <f>32542362.12-U27</f>
        <v>27625464.740000002</v>
      </c>
      <c r="W19" s="477">
        <f t="shared" ref="W19:W23" si="26">U19+$W$46</f>
        <v>1466537.9066666667</v>
      </c>
      <c r="X19" s="496">
        <f t="shared" ref="X19:X23" si="27">W19/O19</f>
        <v>138.5617825648778</v>
      </c>
      <c r="Y19" s="324"/>
      <c r="Z19" s="324"/>
      <c r="AA19" s="324"/>
      <c r="AB19" s="405"/>
      <c r="AC19" s="412"/>
      <c r="AD19" s="192"/>
      <c r="AE19" s="320">
        <f>105.5+7.38</f>
        <v>112.88</v>
      </c>
      <c r="AF19" s="322">
        <f>AE19*D19</f>
        <v>1194721.92</v>
      </c>
      <c r="AG19" s="321"/>
      <c r="AH19" s="368">
        <f>1388260+5445800+21848112</f>
        <v>28682172</v>
      </c>
      <c r="AJ19" s="383">
        <f>(AJ18-AH17)/6</f>
        <v>288911</v>
      </c>
      <c r="AL19" s="384">
        <f>(AL18-AJ17)/6</f>
        <v>11366.666666666666</v>
      </c>
      <c r="AN19" s="390">
        <f>(AN18-AL17)/6</f>
        <v>8333.3333299998194</v>
      </c>
      <c r="AP19" s="322"/>
      <c r="AQ19" s="322"/>
      <c r="AR19" s="356"/>
      <c r="AS19" s="356"/>
      <c r="AT19" s="363">
        <f>AT18/AS16</f>
        <v>15.050143665243132</v>
      </c>
      <c r="AU19" s="362"/>
      <c r="AV19" s="357"/>
      <c r="AW19" s="365">
        <f>AW18/AV16</f>
        <v>2.3706001348617596</v>
      </c>
      <c r="AX19" s="322"/>
    </row>
    <row r="20" spans="1:50" ht="106.2" customHeight="1">
      <c r="A20" s="478" t="s">
        <v>157</v>
      </c>
      <c r="B20" s="479" t="s">
        <v>320</v>
      </c>
      <c r="C20" s="480" t="s">
        <v>177</v>
      </c>
      <c r="D20" s="494">
        <v>1620</v>
      </c>
      <c r="E20" s="494">
        <v>1620</v>
      </c>
      <c r="F20" s="494">
        <v>1620</v>
      </c>
      <c r="G20" s="494">
        <v>1620</v>
      </c>
      <c r="H20" s="494">
        <f t="shared" si="19"/>
        <v>1620</v>
      </c>
      <c r="I20" s="481">
        <f t="shared" si="20"/>
        <v>101.49172839506173</v>
      </c>
      <c r="J20" s="481">
        <f>D20*I20</f>
        <v>164416.6</v>
      </c>
      <c r="K20" s="481">
        <f t="shared" si="24"/>
        <v>362283.26666666666</v>
      </c>
      <c r="L20" s="481">
        <f t="shared" si="25"/>
        <v>362283.26666666666</v>
      </c>
      <c r="M20" s="349"/>
      <c r="N20" s="349"/>
      <c r="O20" s="435">
        <v>1620</v>
      </c>
      <c r="P20" s="431">
        <v>122.68</v>
      </c>
      <c r="Q20" s="413">
        <v>198741.6</v>
      </c>
      <c r="R20" s="405"/>
      <c r="S20" s="405"/>
      <c r="T20" s="413">
        <f t="shared" si="21"/>
        <v>101.49172839506173</v>
      </c>
      <c r="U20" s="463">
        <f t="shared" si="22"/>
        <v>164416.6</v>
      </c>
      <c r="V20" s="475">
        <f>(V19-Q17)/6</f>
        <v>304168.16666666669</v>
      </c>
      <c r="W20" s="477">
        <f t="shared" si="26"/>
        <v>362283.26666666666</v>
      </c>
      <c r="X20" s="496">
        <f t="shared" si="27"/>
        <v>223.63164609053499</v>
      </c>
      <c r="Y20" s="369"/>
      <c r="Z20" s="369"/>
      <c r="AA20" s="369"/>
      <c r="AB20" s="405"/>
      <c r="AC20" s="412"/>
      <c r="AD20" s="192"/>
      <c r="AE20" s="320">
        <f>104.06+8.87</f>
        <v>112.93</v>
      </c>
      <c r="AF20" s="322">
        <f>AE20*D20-10.44</f>
        <v>182936.16</v>
      </c>
      <c r="AG20" s="321"/>
      <c r="AH20" s="369">
        <f>(AH17-AF17)/6</f>
        <v>182795.33333333334</v>
      </c>
      <c r="AP20" s="322"/>
      <c r="AQ20" s="322"/>
      <c r="AR20" s="322"/>
      <c r="AS20" s="322"/>
      <c r="AT20" s="322"/>
      <c r="AU20" s="322"/>
      <c r="AV20" s="322"/>
      <c r="AW20" s="366">
        <f>AW18/6</f>
        <v>42187.199999999873</v>
      </c>
      <c r="AX20" s="322"/>
    </row>
    <row r="21" spans="1:50" ht="89.4" customHeight="1">
      <c r="A21" s="478" t="s">
        <v>157</v>
      </c>
      <c r="B21" s="479" t="s">
        <v>321</v>
      </c>
      <c r="C21" s="480" t="s">
        <v>177</v>
      </c>
      <c r="D21" s="494">
        <v>20736</v>
      </c>
      <c r="E21" s="494">
        <v>20736</v>
      </c>
      <c r="F21" s="494">
        <v>20736</v>
      </c>
      <c r="G21" s="494">
        <v>20736</v>
      </c>
      <c r="H21" s="494">
        <f t="shared" si="19"/>
        <v>20736</v>
      </c>
      <c r="I21" s="481">
        <f t="shared" si="20"/>
        <v>122.69160879629631</v>
      </c>
      <c r="J21" s="481">
        <f>D21*I21</f>
        <v>2544133.2000000002</v>
      </c>
      <c r="K21" s="481">
        <f t="shared" si="24"/>
        <v>2741999.8666666667</v>
      </c>
      <c r="L21" s="481">
        <f t="shared" si="25"/>
        <v>2741999.8666666667</v>
      </c>
      <c r="M21" s="349"/>
      <c r="N21" s="349"/>
      <c r="O21" s="435">
        <v>20736</v>
      </c>
      <c r="P21" s="431">
        <v>124.35</v>
      </c>
      <c r="Q21" s="413">
        <v>2578458.2000000002</v>
      </c>
      <c r="R21" s="405"/>
      <c r="S21" s="405"/>
      <c r="T21" s="413">
        <f t="shared" si="21"/>
        <v>122.69160879629631</v>
      </c>
      <c r="U21" s="463">
        <f t="shared" si="22"/>
        <v>2544133.2000000002</v>
      </c>
      <c r="V21" s="405"/>
      <c r="W21" s="477">
        <f t="shared" si="26"/>
        <v>2741999.8666666667</v>
      </c>
      <c r="X21" s="496">
        <f t="shared" si="27"/>
        <v>132.23378986625514</v>
      </c>
      <c r="Y21" s="405"/>
      <c r="Z21" s="405"/>
      <c r="AA21" s="405"/>
      <c r="AB21" s="405"/>
      <c r="AC21" s="412"/>
      <c r="AD21" s="192"/>
      <c r="AE21" s="320">
        <f>105.05+7.93</f>
        <v>112.97999999999999</v>
      </c>
      <c r="AF21" s="322">
        <f>AE21*D21</f>
        <v>2342753.2799999998</v>
      </c>
      <c r="AG21" s="321"/>
    </row>
    <row r="22" spans="1:50" ht="93" customHeight="1">
      <c r="A22" s="478" t="s">
        <v>157</v>
      </c>
      <c r="B22" s="479" t="s">
        <v>323</v>
      </c>
      <c r="C22" s="480" t="s">
        <v>177</v>
      </c>
      <c r="D22" s="494">
        <v>18468</v>
      </c>
      <c r="E22" s="494">
        <v>18468</v>
      </c>
      <c r="F22" s="494">
        <v>18468</v>
      </c>
      <c r="G22" s="494">
        <v>18468</v>
      </c>
      <c r="H22" s="494">
        <f t="shared" si="19"/>
        <v>18468</v>
      </c>
      <c r="I22" s="481">
        <f t="shared" si="20"/>
        <v>122.49137535196016</v>
      </c>
      <c r="J22" s="481">
        <f>D22*I22</f>
        <v>2262170.7200000002</v>
      </c>
      <c r="K22" s="481">
        <f t="shared" si="24"/>
        <v>2460037.3866666663</v>
      </c>
      <c r="L22" s="481">
        <f t="shared" si="25"/>
        <v>2460037.3866666663</v>
      </c>
      <c r="M22" s="349"/>
      <c r="N22" s="349"/>
      <c r="O22" s="435">
        <v>18468</v>
      </c>
      <c r="P22" s="431">
        <v>124.35</v>
      </c>
      <c r="Q22" s="413">
        <v>2296495.7200000002</v>
      </c>
      <c r="R22" s="405"/>
      <c r="S22" s="405"/>
      <c r="T22" s="413">
        <f t="shared" si="21"/>
        <v>122.49137535196016</v>
      </c>
      <c r="U22" s="463">
        <f t="shared" si="22"/>
        <v>2262170.7200000002</v>
      </c>
      <c r="V22" s="405"/>
      <c r="W22" s="477">
        <f t="shared" si="26"/>
        <v>2460037.3866666667</v>
      </c>
      <c r="X22" s="496">
        <f t="shared" si="27"/>
        <v>133.20540321998411</v>
      </c>
      <c r="Y22" s="405"/>
      <c r="Z22" s="405"/>
      <c r="AA22" s="405"/>
      <c r="AB22" s="405"/>
      <c r="AC22" s="412"/>
      <c r="AD22" s="192"/>
      <c r="AE22" s="320">
        <f>105.55+7.4</f>
        <v>112.95</v>
      </c>
      <c r="AF22" s="322">
        <f>AE22*D22</f>
        <v>2085960.6</v>
      </c>
      <c r="AG22" s="321"/>
    </row>
    <row r="23" spans="1:50" ht="115.95" customHeight="1">
      <c r="A23" s="479" t="s">
        <v>157</v>
      </c>
      <c r="B23" s="479" t="s">
        <v>322</v>
      </c>
      <c r="C23" s="480" t="s">
        <v>177</v>
      </c>
      <c r="D23" s="494">
        <v>17892</v>
      </c>
      <c r="E23" s="494">
        <v>17892</v>
      </c>
      <c r="F23" s="494">
        <v>17892</v>
      </c>
      <c r="G23" s="494">
        <v>17892</v>
      </c>
      <c r="H23" s="494">
        <f t="shared" si="19"/>
        <v>17892</v>
      </c>
      <c r="I23" s="481">
        <f t="shared" si="20"/>
        <v>121.88154035323049</v>
      </c>
      <c r="J23" s="481">
        <f>D23*I23</f>
        <v>2180704.52</v>
      </c>
      <c r="K23" s="481">
        <f t="shared" si="24"/>
        <v>2378571.1866666665</v>
      </c>
      <c r="L23" s="481">
        <f t="shared" si="25"/>
        <v>2378571.1866666665</v>
      </c>
      <c r="M23" s="349"/>
      <c r="N23" s="349"/>
      <c r="O23" s="435">
        <v>17892</v>
      </c>
      <c r="P23" s="431">
        <v>123.8</v>
      </c>
      <c r="Q23" s="413">
        <v>2215029.52</v>
      </c>
      <c r="R23" s="405"/>
      <c r="S23" s="405"/>
      <c r="T23" s="413">
        <f t="shared" si="21"/>
        <v>121.88154035323049</v>
      </c>
      <c r="U23" s="463">
        <f t="shared" si="22"/>
        <v>2180704.52</v>
      </c>
      <c r="V23" s="448">
        <f>(Q24-V24)/6</f>
        <v>34325</v>
      </c>
      <c r="W23" s="477">
        <f t="shared" si="26"/>
        <v>2378571.1866666665</v>
      </c>
      <c r="X23" s="496">
        <f t="shared" si="27"/>
        <v>132.94048662344437</v>
      </c>
      <c r="Y23" s="474"/>
      <c r="Z23" s="474"/>
      <c r="AA23" s="474"/>
      <c r="AB23" s="405"/>
      <c r="AC23" s="412"/>
      <c r="AD23" s="192"/>
      <c r="AE23" s="320">
        <f>103+9.85</f>
        <v>112.85</v>
      </c>
      <c r="AF23" s="322">
        <f>AE23*D23</f>
        <v>2019112.2</v>
      </c>
      <c r="AG23" s="194"/>
    </row>
    <row r="24" spans="1:50" ht="25.2" customHeight="1">
      <c r="A24" s="482" t="s">
        <v>249</v>
      </c>
      <c r="B24" s="483" t="s">
        <v>324</v>
      </c>
      <c r="C24" s="480"/>
      <c r="D24" s="484">
        <f>SUM(D18:D23)</f>
        <v>82260</v>
      </c>
      <c r="E24" s="485">
        <f t="shared" ref="E24:L24" si="28">SUM(E18:E23)</f>
        <v>82260</v>
      </c>
      <c r="F24" s="485">
        <f t="shared" si="28"/>
        <v>82260</v>
      </c>
      <c r="G24" s="484">
        <f t="shared" si="28"/>
        <v>82260</v>
      </c>
      <c r="H24" s="484">
        <f t="shared" si="28"/>
        <v>82260</v>
      </c>
      <c r="I24" s="458">
        <f>AVERAGE(I18:I23)</f>
        <v>118.30076832940294</v>
      </c>
      <c r="J24" s="458">
        <f t="shared" si="28"/>
        <v>9993200</v>
      </c>
      <c r="K24" s="458">
        <f t="shared" si="28"/>
        <v>11180400</v>
      </c>
      <c r="L24" s="458">
        <f t="shared" si="28"/>
        <v>11180400</v>
      </c>
      <c r="M24" s="350"/>
      <c r="N24" s="350"/>
      <c r="O24" s="436">
        <f>SUM(O18:O23)</f>
        <v>82260</v>
      </c>
      <c r="P24" s="428"/>
      <c r="Q24" s="424">
        <f>SUM(Q18:Q23)</f>
        <v>10199150</v>
      </c>
      <c r="R24" s="409"/>
      <c r="S24" s="409"/>
      <c r="T24" s="428"/>
      <c r="U24" s="466">
        <f>SUM(U18:U23)</f>
        <v>9993200</v>
      </c>
      <c r="V24" s="467">
        <f>Q24-205950</f>
        <v>9993200</v>
      </c>
      <c r="W24" s="465">
        <f>SUM(W18:W23)</f>
        <v>11180400</v>
      </c>
      <c r="X24" s="409"/>
      <c r="Y24" s="409"/>
      <c r="Z24" s="409"/>
      <c r="AA24" s="409"/>
      <c r="AB24" s="409"/>
      <c r="AC24" s="192"/>
      <c r="AD24" s="317">
        <f>9289864.8-8889750.36</f>
        <v>400114.44000000134</v>
      </c>
      <c r="AE24" s="318">
        <f>AD24/D24</f>
        <v>4.8640218818380907</v>
      </c>
      <c r="AF24" s="327">
        <f>SUM(AF18:AF23)</f>
        <v>9289704.959999999</v>
      </c>
      <c r="AG24" s="328">
        <v>8889750.3599999994</v>
      </c>
      <c r="AP24" s="344"/>
    </row>
    <row r="25" spans="1:50" ht="43.2" customHeight="1">
      <c r="A25" s="589" t="s">
        <v>157</v>
      </c>
      <c r="B25" s="479" t="s">
        <v>248</v>
      </c>
      <c r="C25" s="480" t="s">
        <v>234</v>
      </c>
      <c r="D25" s="480">
        <v>1</v>
      </c>
      <c r="E25" s="480">
        <v>1</v>
      </c>
      <c r="F25" s="480">
        <v>1</v>
      </c>
      <c r="G25" s="480">
        <v>1</v>
      </c>
      <c r="H25" s="480">
        <v>1</v>
      </c>
      <c r="I25" s="481">
        <v>167586.74</v>
      </c>
      <c r="J25" s="481">
        <f>D25*I25</f>
        <v>167586.74</v>
      </c>
      <c r="K25" s="481">
        <f>J25</f>
        <v>167586.74</v>
      </c>
      <c r="L25" s="481">
        <f t="shared" ref="L25" si="29">K25</f>
        <v>167586.74</v>
      </c>
      <c r="M25" s="349"/>
      <c r="N25" s="349"/>
      <c r="O25" s="432">
        <v>1</v>
      </c>
      <c r="P25" s="433">
        <v>167586.74</v>
      </c>
      <c r="Q25" s="413">
        <v>167586.74</v>
      </c>
      <c r="R25" s="410"/>
      <c r="S25" s="410"/>
      <c r="T25" s="464"/>
      <c r="U25" s="464"/>
      <c r="V25" s="410"/>
      <c r="W25" s="410"/>
      <c r="X25" s="410"/>
      <c r="Y25" s="410"/>
      <c r="Z25" s="410"/>
      <c r="AA25" s="410"/>
      <c r="AB25" s="410"/>
      <c r="AC25" s="192"/>
      <c r="AP25" s="344"/>
    </row>
    <row r="26" spans="1:50" ht="45.6" customHeight="1">
      <c r="A26" s="590"/>
      <c r="B26" s="479" t="s">
        <v>245</v>
      </c>
      <c r="C26" s="480" t="s">
        <v>234</v>
      </c>
      <c r="D26" s="480">
        <v>4</v>
      </c>
      <c r="E26" s="480">
        <v>2</v>
      </c>
      <c r="F26" s="480">
        <v>2</v>
      </c>
      <c r="G26" s="480">
        <v>4</v>
      </c>
      <c r="H26" s="480">
        <v>4</v>
      </c>
      <c r="I26" s="481">
        <v>1187327.6599999999</v>
      </c>
      <c r="J26" s="481">
        <f>D26*I26</f>
        <v>4749310.6399999997</v>
      </c>
      <c r="K26" s="481">
        <f>J26</f>
        <v>4749310.6399999997</v>
      </c>
      <c r="L26" s="481">
        <f>K26</f>
        <v>4749310.6399999997</v>
      </c>
      <c r="M26" s="349"/>
      <c r="N26" s="349"/>
      <c r="O26" s="432">
        <v>4</v>
      </c>
      <c r="P26" s="433">
        <v>1187327.6599999999</v>
      </c>
      <c r="Q26" s="413">
        <v>4749310.6399999997</v>
      </c>
      <c r="R26" s="410"/>
      <c r="S26" s="410"/>
      <c r="T26" s="464"/>
      <c r="U26" s="464"/>
      <c r="V26" s="410"/>
      <c r="W26" s="410"/>
      <c r="X26" s="410"/>
      <c r="Y26" s="410"/>
      <c r="Z26" s="410"/>
      <c r="AA26" s="410"/>
      <c r="AB26" s="410"/>
      <c r="AC26" s="192"/>
    </row>
    <row r="27" spans="1:50" ht="28.5" customHeight="1">
      <c r="A27" s="482" t="s">
        <v>250</v>
      </c>
      <c r="B27" s="483" t="s">
        <v>236</v>
      </c>
      <c r="C27" s="480"/>
      <c r="D27" s="486">
        <f>SUM(D25:D26)</f>
        <v>5</v>
      </c>
      <c r="E27" s="487">
        <f>SUM(E25:E26)</f>
        <v>3</v>
      </c>
      <c r="F27" s="487">
        <f>SUM(F25:F26)</f>
        <v>3</v>
      </c>
      <c r="G27" s="486">
        <f>SUM(G25:G26)</f>
        <v>5</v>
      </c>
      <c r="H27" s="486">
        <f>SUM(H25:H26)</f>
        <v>5</v>
      </c>
      <c r="I27" s="481">
        <f>I25+I26</f>
        <v>1354914.4</v>
      </c>
      <c r="J27" s="458">
        <f>SUM(J25:J26)</f>
        <v>4916897.38</v>
      </c>
      <c r="K27" s="458">
        <f>SUM(K25:K26)</f>
        <v>4916897.38</v>
      </c>
      <c r="L27" s="458">
        <f>SUM(L25:L26)</f>
        <v>4916897.38</v>
      </c>
      <c r="M27" s="350"/>
      <c r="N27" s="350"/>
      <c r="O27" s="434">
        <f>SUM(O25:O26)</f>
        <v>5</v>
      </c>
      <c r="P27" s="427"/>
      <c r="Q27" s="424">
        <f>SUM(Q25:Q26)</f>
        <v>4916897.38</v>
      </c>
      <c r="R27" s="409"/>
      <c r="S27" s="409"/>
      <c r="T27" s="428"/>
      <c r="U27" s="465">
        <f>Q27</f>
        <v>4916897.38</v>
      </c>
      <c r="V27" s="409"/>
      <c r="W27" s="409"/>
      <c r="X27" s="409"/>
      <c r="Y27" s="409"/>
      <c r="Z27" s="409"/>
      <c r="AA27" s="409"/>
      <c r="AB27" s="409"/>
      <c r="AC27" s="192"/>
      <c r="AF27" s="400"/>
      <c r="AG27" s="319"/>
      <c r="AH27" s="319"/>
      <c r="AI27" s="319"/>
      <c r="AJ27" s="319" t="s">
        <v>346</v>
      </c>
      <c r="AK27" s="319" t="s">
        <v>347</v>
      </c>
    </row>
    <row r="28" spans="1:50" ht="22.95" hidden="1" customHeight="1">
      <c r="A28" s="478" t="s">
        <v>157</v>
      </c>
      <c r="B28" s="479" t="s">
        <v>284</v>
      </c>
      <c r="C28" s="479" t="s">
        <v>20</v>
      </c>
      <c r="D28" s="479">
        <f>28+6</f>
        <v>34</v>
      </c>
      <c r="E28" s="479">
        <f>28+6</f>
        <v>34</v>
      </c>
      <c r="F28" s="479">
        <f>28+6</f>
        <v>34</v>
      </c>
      <c r="G28" s="479">
        <f>28+6</f>
        <v>34</v>
      </c>
      <c r="H28" s="479">
        <f>28+6</f>
        <v>34</v>
      </c>
      <c r="I28" s="488"/>
      <c r="J28" s="488"/>
      <c r="K28" s="489"/>
      <c r="L28" s="489"/>
      <c r="M28" s="351"/>
      <c r="N28" s="351"/>
      <c r="O28" s="428"/>
      <c r="P28" s="428"/>
      <c r="Q28" s="428"/>
      <c r="R28" s="409"/>
      <c r="S28" s="409"/>
      <c r="T28" s="409"/>
      <c r="U28" s="409"/>
      <c r="V28" s="409"/>
      <c r="W28" s="409"/>
      <c r="X28" s="409"/>
      <c r="Y28" s="409"/>
      <c r="Z28" s="409"/>
      <c r="AA28" s="409"/>
      <c r="AB28" s="409"/>
    </row>
    <row r="29" spans="1:50" ht="22.95" hidden="1" customHeight="1">
      <c r="A29" s="478"/>
      <c r="B29" s="479" t="s">
        <v>290</v>
      </c>
      <c r="C29" s="479" t="s">
        <v>20</v>
      </c>
      <c r="D29" s="479"/>
      <c r="E29" s="479"/>
      <c r="F29" s="479"/>
      <c r="G29" s="479"/>
      <c r="H29" s="479"/>
      <c r="I29" s="488"/>
      <c r="J29" s="490"/>
      <c r="K29" s="489"/>
      <c r="L29" s="489"/>
      <c r="M29" s="351"/>
      <c r="N29" s="351"/>
      <c r="O29" s="428"/>
      <c r="P29" s="428"/>
      <c r="Q29" s="428"/>
      <c r="R29" s="409"/>
      <c r="S29" s="409"/>
      <c r="T29" s="409"/>
      <c r="U29" s="409"/>
      <c r="V29" s="409"/>
      <c r="W29" s="409"/>
      <c r="X29" s="409"/>
      <c r="Y29" s="409"/>
      <c r="Z29" s="409"/>
      <c r="AA29" s="409"/>
      <c r="AB29" s="409"/>
    </row>
    <row r="30" spans="1:50" ht="18" hidden="1" customHeight="1">
      <c r="A30" s="478"/>
      <c r="B30" s="479" t="s">
        <v>283</v>
      </c>
      <c r="C30" s="479" t="s">
        <v>20</v>
      </c>
      <c r="D30" s="479">
        <f>21+11</f>
        <v>32</v>
      </c>
      <c r="E30" s="479">
        <f t="shared" ref="E30:H31" si="30">21+11</f>
        <v>32</v>
      </c>
      <c r="F30" s="479">
        <f t="shared" si="30"/>
        <v>32</v>
      </c>
      <c r="G30" s="479">
        <f t="shared" si="30"/>
        <v>32</v>
      </c>
      <c r="H30" s="479">
        <f t="shared" si="30"/>
        <v>32</v>
      </c>
      <c r="I30" s="488"/>
      <c r="J30" s="488"/>
      <c r="K30" s="489"/>
      <c r="L30" s="489"/>
      <c r="M30" s="351"/>
      <c r="N30" s="351"/>
      <c r="O30" s="428"/>
      <c r="P30" s="428"/>
      <c r="Q30" s="428"/>
      <c r="R30" s="409"/>
      <c r="S30" s="409"/>
      <c r="T30" s="409"/>
      <c r="U30" s="409"/>
      <c r="V30" s="409"/>
      <c r="W30" s="409"/>
      <c r="X30" s="409"/>
      <c r="Y30" s="409"/>
      <c r="Z30" s="409"/>
      <c r="AA30" s="409"/>
      <c r="AB30" s="409"/>
    </row>
    <row r="31" spans="1:50" hidden="1">
      <c r="A31" s="479"/>
      <c r="B31" s="479" t="s">
        <v>229</v>
      </c>
      <c r="C31" s="479" t="s">
        <v>20</v>
      </c>
      <c r="D31" s="479">
        <f>21+11</f>
        <v>32</v>
      </c>
      <c r="E31" s="479">
        <f t="shared" si="30"/>
        <v>32</v>
      </c>
      <c r="F31" s="479">
        <f t="shared" si="30"/>
        <v>32</v>
      </c>
      <c r="G31" s="479">
        <f t="shared" si="30"/>
        <v>32</v>
      </c>
      <c r="H31" s="479">
        <f t="shared" si="30"/>
        <v>32</v>
      </c>
      <c r="I31" s="488"/>
      <c r="J31" s="488"/>
      <c r="K31" s="489">
        <f>J31</f>
        <v>0</v>
      </c>
      <c r="L31" s="489">
        <f>K31</f>
        <v>0</v>
      </c>
      <c r="M31" s="351"/>
      <c r="N31" s="351"/>
      <c r="O31" s="428"/>
      <c r="P31" s="428"/>
      <c r="Q31" s="428"/>
      <c r="R31" s="409"/>
      <c r="S31" s="409"/>
      <c r="T31" s="409"/>
      <c r="U31" s="409"/>
      <c r="V31" s="409"/>
      <c r="W31" s="409"/>
      <c r="X31" s="409"/>
      <c r="Y31" s="409"/>
      <c r="Z31" s="409"/>
      <c r="AA31" s="409"/>
      <c r="AB31" s="409"/>
    </row>
    <row r="32" spans="1:50" ht="23.4" customHeight="1">
      <c r="A32" s="584" t="s">
        <v>230</v>
      </c>
      <c r="B32" s="585"/>
      <c r="C32" s="586"/>
      <c r="D32" s="479"/>
      <c r="E32" s="479"/>
      <c r="F32" s="479"/>
      <c r="G32" s="479"/>
      <c r="H32" s="479"/>
      <c r="I32" s="488"/>
      <c r="J32" s="491">
        <f>J17+J24+J27</f>
        <v>43410235.120000005</v>
      </c>
      <c r="K32" s="491">
        <f>K17+K24+K27</f>
        <v>40655653.119999997</v>
      </c>
      <c r="L32" s="491">
        <f t="shared" ref="L32" si="31">L17+L24+L27</f>
        <v>40655653.119999997</v>
      </c>
      <c r="M32" s="352"/>
      <c r="N32" s="352"/>
      <c r="O32" s="429"/>
      <c r="P32" s="429"/>
      <c r="Q32" s="430">
        <f>Q17+Q24+Q27</f>
        <v>40916503.120000005</v>
      </c>
      <c r="R32" s="411"/>
      <c r="S32" s="411"/>
      <c r="T32" s="429"/>
      <c r="U32" s="429"/>
      <c r="V32" s="411"/>
      <c r="W32" s="411"/>
      <c r="X32" s="411"/>
      <c r="Y32" s="411"/>
      <c r="Z32" s="411"/>
      <c r="AA32" s="411"/>
      <c r="AB32" s="411"/>
      <c r="AC32" s="192"/>
      <c r="AF32" s="327">
        <v>37024596.810000002</v>
      </c>
      <c r="AG32" s="320"/>
      <c r="AH32" s="327">
        <v>37571922.359999999</v>
      </c>
      <c r="AI32" s="320"/>
      <c r="AJ32" s="328">
        <v>39305388.359999999</v>
      </c>
      <c r="AK32" s="373">
        <v>37024600</v>
      </c>
      <c r="AL32" s="320"/>
      <c r="AM32" s="320"/>
      <c r="AN32" s="320"/>
      <c r="AO32" s="320"/>
      <c r="AP32" s="320"/>
    </row>
    <row r="33" spans="1:41" ht="13.2" customHeight="1">
      <c r="J33" s="192"/>
      <c r="O33" s="322"/>
      <c r="P33" s="322"/>
      <c r="Q33" s="322"/>
      <c r="R33" s="322"/>
      <c r="S33" s="322"/>
      <c r="T33" s="322"/>
      <c r="U33" s="372" t="s">
        <v>378</v>
      </c>
      <c r="V33" s="372" t="s">
        <v>379</v>
      </c>
      <c r="W33" s="372"/>
      <c r="X33" s="372"/>
      <c r="Y33" s="372"/>
      <c r="Z33" s="372"/>
      <c r="AA33" s="372"/>
      <c r="AB33" s="322"/>
      <c r="AI33" s="376" t="s">
        <v>351</v>
      </c>
      <c r="AJ33" s="320">
        <v>8889750.3599999994</v>
      </c>
      <c r="AK33" s="320">
        <v>0</v>
      </c>
    </row>
    <row r="34" spans="1:41" ht="13.8" customHeight="1">
      <c r="J34" s="192"/>
      <c r="P34" s="319"/>
      <c r="Q34" s="407" t="s">
        <v>375</v>
      </c>
      <c r="R34" s="319" t="s">
        <v>376</v>
      </c>
      <c r="U34" s="457" t="s">
        <v>371</v>
      </c>
      <c r="V34" s="457" t="s">
        <v>371</v>
      </c>
      <c r="W34" s="469"/>
      <c r="X34" s="469"/>
      <c r="Y34" s="469"/>
      <c r="Z34" s="469"/>
      <c r="AA34" s="469"/>
      <c r="AI34" s="376" t="s">
        <v>352</v>
      </c>
      <c r="AJ34" s="320">
        <v>4943157.2</v>
      </c>
      <c r="AK34" s="320">
        <v>4943157.2</v>
      </c>
    </row>
    <row r="35" spans="1:41">
      <c r="J35" s="187"/>
      <c r="K35" s="189"/>
      <c r="L35" s="189"/>
      <c r="M35" s="189"/>
      <c r="N35" s="189"/>
      <c r="O35" s="189"/>
      <c r="U35" s="456">
        <v>35999655.740000002</v>
      </c>
      <c r="V35" s="456">
        <v>35999655.740000002</v>
      </c>
      <c r="W35" s="470"/>
      <c r="X35" s="470"/>
      <c r="Y35" s="470"/>
      <c r="Z35" s="470"/>
      <c r="AA35" s="470"/>
      <c r="AB35" s="189"/>
      <c r="AI35" s="378" t="s">
        <v>353</v>
      </c>
      <c r="AJ35" s="379">
        <f>AJ32-AJ33-AJ34</f>
        <v>25472480.800000001</v>
      </c>
      <c r="AK35" s="372">
        <f>AK32-AK33-AK34</f>
        <v>32081442.800000001</v>
      </c>
      <c r="AL35" s="317">
        <f>AK35-AJ35</f>
        <v>6608962</v>
      </c>
      <c r="AM35" s="317"/>
      <c r="AN35" s="317"/>
      <c r="AO35" s="317"/>
    </row>
    <row r="36" spans="1:41">
      <c r="A36" s="182" t="s">
        <v>233</v>
      </c>
      <c r="J36" s="192"/>
      <c r="P36" s="420" t="s">
        <v>398</v>
      </c>
      <c r="Q36" s="328">
        <v>40916553.119999997</v>
      </c>
      <c r="R36" s="408">
        <v>40916553.119999997</v>
      </c>
      <c r="S36" s="320"/>
      <c r="T36" s="320"/>
      <c r="U36" s="320"/>
      <c r="V36" s="412"/>
      <c r="W36" s="412"/>
      <c r="X36" s="412"/>
      <c r="Y36" s="412"/>
      <c r="Z36" s="412"/>
      <c r="AA36" s="412"/>
      <c r="AC36" s="192"/>
      <c r="AJ36" s="344"/>
      <c r="AK36" s="317"/>
      <c r="AL36" s="374">
        <f>AL35/6</f>
        <v>1101493.6666666667</v>
      </c>
      <c r="AM36" s="374"/>
      <c r="AN36" s="374"/>
      <c r="AO36" s="425"/>
    </row>
    <row r="37" spans="1:41">
      <c r="A37" s="182" t="s">
        <v>377</v>
      </c>
      <c r="J37" s="192"/>
      <c r="K37" s="192"/>
      <c r="L37" s="192"/>
      <c r="M37" s="192"/>
      <c r="N37" s="192"/>
      <c r="O37" s="192"/>
      <c r="P37" s="376" t="s">
        <v>351</v>
      </c>
      <c r="Q37" s="320">
        <f>10199150+50</f>
        <v>10199200</v>
      </c>
      <c r="R37" s="320">
        <v>0</v>
      </c>
      <c r="U37" s="412"/>
      <c r="V37" s="412"/>
      <c r="W37" s="412"/>
      <c r="X37" s="412"/>
      <c r="Y37" s="412"/>
      <c r="Z37" s="412"/>
      <c r="AA37" s="412"/>
      <c r="AB37" s="192"/>
      <c r="AC37" s="192"/>
      <c r="AJ37" s="319" t="s">
        <v>346</v>
      </c>
    </row>
    <row r="38" spans="1:41" ht="20.399999999999999">
      <c r="J38" s="192"/>
      <c r="K38" s="192"/>
      <c r="L38" s="192"/>
      <c r="M38" s="192"/>
      <c r="N38" s="192"/>
      <c r="O38" s="192"/>
      <c r="P38" s="376" t="s">
        <v>352</v>
      </c>
      <c r="Q38" s="320">
        <v>4916897.38</v>
      </c>
      <c r="R38" s="320">
        <v>4916897.38</v>
      </c>
      <c r="U38" s="412"/>
      <c r="V38" s="412"/>
      <c r="W38" s="412"/>
      <c r="X38" s="412"/>
      <c r="Y38" s="412"/>
      <c r="Z38" s="412"/>
      <c r="AA38" s="412"/>
      <c r="AB38" s="192"/>
      <c r="AJ38" s="377" t="s">
        <v>350</v>
      </c>
    </row>
    <row r="39" spans="1:41">
      <c r="J39" s="192"/>
      <c r="K39" s="192"/>
      <c r="L39" s="192"/>
      <c r="M39" s="192"/>
      <c r="N39" s="192"/>
      <c r="O39" s="192"/>
      <c r="P39" s="378" t="s">
        <v>353</v>
      </c>
      <c r="Q39" s="379">
        <f>Q36-Q37-Q38</f>
        <v>25800455.739999998</v>
      </c>
      <c r="R39" s="417">
        <f>R36-R37-R38</f>
        <v>35999655.739999995</v>
      </c>
      <c r="S39" s="317">
        <f>R39-Q39</f>
        <v>10199199.999999996</v>
      </c>
      <c r="T39" s="317"/>
      <c r="U39" s="372" t="s">
        <v>378</v>
      </c>
      <c r="V39" s="372" t="s">
        <v>379</v>
      </c>
      <c r="W39" s="372"/>
      <c r="X39" s="372"/>
      <c r="Y39" s="372"/>
      <c r="Z39" s="372"/>
      <c r="AA39" s="372"/>
      <c r="AB39" s="192"/>
      <c r="AJ39" s="328">
        <v>39373588.359999999</v>
      </c>
    </row>
    <row r="40" spans="1:41" ht="64.2" customHeight="1">
      <c r="J40" s="187"/>
      <c r="Q40" s="344"/>
      <c r="R40" s="426">
        <f>S39/6</f>
        <v>1699866.666666666</v>
      </c>
      <c r="S40" s="419">
        <f>(S39+15.7)/6-2.04</f>
        <v>1699867.2433333325</v>
      </c>
      <c r="T40" s="418" t="s">
        <v>397</v>
      </c>
      <c r="U40" s="449" t="s">
        <v>405</v>
      </c>
      <c r="V40" s="449" t="s">
        <v>405</v>
      </c>
      <c r="W40" s="471"/>
      <c r="X40" s="471"/>
      <c r="Y40" s="471"/>
      <c r="Z40" s="471"/>
      <c r="AA40" s="471"/>
      <c r="AB40" s="344"/>
      <c r="AI40" s="395" t="s">
        <v>353</v>
      </c>
      <c r="AJ40" s="396">
        <f>AJ39-AJ33-AJ34</f>
        <v>25540680.800000001</v>
      </c>
    </row>
    <row r="41" spans="1:41" ht="20.399999999999999">
      <c r="J41" s="192"/>
      <c r="K41" s="192"/>
      <c r="L41" s="192"/>
      <c r="M41" s="192"/>
      <c r="N41" s="192"/>
      <c r="O41" s="192"/>
      <c r="Q41" s="317">
        <f>Q37-10199150</f>
        <v>50</v>
      </c>
      <c r="R41" s="400">
        <f>R39-R17</f>
        <v>0</v>
      </c>
      <c r="S41" s="425"/>
      <c r="T41" s="451" t="s">
        <v>407</v>
      </c>
      <c r="U41" s="458">
        <v>40655653.119999997</v>
      </c>
      <c r="V41" s="458">
        <v>40655653.119999997</v>
      </c>
      <c r="W41" s="472"/>
      <c r="X41" s="472"/>
      <c r="Y41" s="472"/>
      <c r="Z41" s="472"/>
      <c r="AA41" s="472"/>
      <c r="AB41" s="192"/>
      <c r="AJ41" s="391" t="s">
        <v>367</v>
      </c>
    </row>
    <row r="42" spans="1:41">
      <c r="J42" s="192"/>
      <c r="K42" s="192"/>
      <c r="L42" s="192"/>
      <c r="M42" s="192"/>
      <c r="N42" s="192"/>
      <c r="O42" s="192"/>
      <c r="Q42" s="344">
        <f>Q41/D24</f>
        <v>6.078288353999514E-4</v>
      </c>
      <c r="R42" s="400">
        <f>12.24/6</f>
        <v>2.04</v>
      </c>
      <c r="T42" s="452" t="s">
        <v>409</v>
      </c>
      <c r="U42" s="453">
        <v>29475253.120000001</v>
      </c>
      <c r="V42" s="453">
        <v>29475253.120000001</v>
      </c>
      <c r="W42" s="400"/>
      <c r="X42" s="400"/>
      <c r="Y42" s="400"/>
      <c r="Z42" s="400"/>
      <c r="AA42" s="400"/>
      <c r="AB42" s="192"/>
      <c r="AJ42" s="392">
        <v>39423588.359999999</v>
      </c>
    </row>
    <row r="43" spans="1:41">
      <c r="J43" s="192"/>
      <c r="K43" s="192"/>
      <c r="L43" s="192"/>
      <c r="M43" s="192"/>
      <c r="N43" s="192"/>
      <c r="O43" s="192"/>
      <c r="R43" s="192"/>
      <c r="T43" s="452" t="s">
        <v>410</v>
      </c>
      <c r="U43" s="453">
        <v>4916897.38</v>
      </c>
      <c r="V43" s="453">
        <v>4916897.38</v>
      </c>
      <c r="W43" s="400"/>
      <c r="X43" s="400"/>
      <c r="Y43" s="400"/>
      <c r="Z43" s="400"/>
      <c r="AA43" s="400"/>
      <c r="AB43" s="192"/>
      <c r="AI43" s="393" t="s">
        <v>353</v>
      </c>
      <c r="AJ43" s="394">
        <f>AJ42-AJ33-AJ34</f>
        <v>25590680.800000001</v>
      </c>
    </row>
    <row r="44" spans="1:41"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454" t="s">
        <v>411</v>
      </c>
      <c r="U44" s="455">
        <f>U42-U43</f>
        <v>24558355.740000002</v>
      </c>
      <c r="V44" s="455">
        <f>V42-V43</f>
        <v>24558355.740000002</v>
      </c>
      <c r="W44" s="372"/>
      <c r="X44" s="372"/>
      <c r="Y44" s="372"/>
      <c r="Z44" s="372"/>
      <c r="AA44" s="372"/>
      <c r="AB44" s="192"/>
    </row>
    <row r="45" spans="1:41"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454" t="s">
        <v>408</v>
      </c>
      <c r="U45" s="453">
        <v>11180400</v>
      </c>
      <c r="V45" s="453">
        <v>11180400</v>
      </c>
      <c r="W45" s="400">
        <f>U45-U24</f>
        <v>1187200</v>
      </c>
      <c r="X45" s="400"/>
      <c r="Y45" s="400"/>
      <c r="Z45" s="400"/>
      <c r="AA45" s="400"/>
      <c r="AB45" s="192"/>
    </row>
    <row r="46" spans="1:41"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400">
        <f>U45+U42</f>
        <v>40655653.120000005</v>
      </c>
      <c r="V46" s="400">
        <f>V45+V42</f>
        <v>40655653.120000005</v>
      </c>
      <c r="W46" s="476">
        <f>W45/6</f>
        <v>197866.66666666666</v>
      </c>
      <c r="X46" s="400"/>
      <c r="Y46" s="400"/>
      <c r="Z46" s="400"/>
      <c r="AA46" s="400"/>
      <c r="AB46" s="192"/>
    </row>
    <row r="47" spans="1:41"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400"/>
      <c r="V47" s="400"/>
      <c r="W47" s="400"/>
      <c r="X47" s="400"/>
      <c r="Y47" s="400"/>
      <c r="Z47" s="400"/>
      <c r="AA47" s="400"/>
      <c r="AB47" s="192"/>
    </row>
    <row r="48" spans="1:41"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317">
        <f>U44-U35</f>
        <v>-11441300</v>
      </c>
      <c r="V48" s="317"/>
      <c r="W48" s="317"/>
      <c r="X48" s="317"/>
      <c r="Y48" s="317"/>
      <c r="Z48" s="317"/>
      <c r="AA48" s="317"/>
      <c r="AB48" s="192"/>
    </row>
    <row r="49" spans="9:28"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450" t="s">
        <v>412</v>
      </c>
      <c r="U49" s="317">
        <f>U48/6</f>
        <v>-1906883.3333333333</v>
      </c>
      <c r="V49" s="192"/>
      <c r="W49" s="192"/>
      <c r="X49" s="192"/>
      <c r="Y49" s="192"/>
      <c r="Z49" s="192"/>
      <c r="AA49" s="192"/>
      <c r="AB49" s="192"/>
    </row>
    <row r="50" spans="9:28"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468">
        <v>1906883.33</v>
      </c>
      <c r="V50" s="192"/>
      <c r="W50" s="192"/>
      <c r="X50" s="192"/>
      <c r="Y50" s="192"/>
      <c r="Z50" s="192"/>
      <c r="AA50" s="192"/>
      <c r="AB50" s="192"/>
    </row>
    <row r="51" spans="9:28"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</row>
    <row r="52" spans="9:28"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</row>
    <row r="53" spans="9:28"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</row>
    <row r="54" spans="9:28"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</row>
    <row r="55" spans="9:28"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</row>
    <row r="56" spans="9:28"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</row>
    <row r="57" spans="9:28"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</row>
    <row r="58" spans="9:28" hidden="1"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</row>
    <row r="59" spans="9:28" s="189" customFormat="1" hidden="1">
      <c r="J59" s="187"/>
    </row>
    <row r="60" spans="9:28" s="189" customFormat="1" hidden="1">
      <c r="J60" s="187">
        <v>8088944</v>
      </c>
      <c r="K60" s="187">
        <v>6148700</v>
      </c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</row>
    <row r="61" spans="9:28" s="189" customFormat="1" hidden="1">
      <c r="J61" s="187">
        <f>J60/I68</f>
        <v>75.756199895107514</v>
      </c>
      <c r="K61" s="187">
        <f>K60/I68</f>
        <v>57.585037836217879</v>
      </c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</row>
    <row r="62" spans="9:28" s="189" customFormat="1" hidden="1">
      <c r="I62" s="189">
        <f t="shared" ref="I62:I67" si="32">D11</f>
        <v>11376</v>
      </c>
      <c r="J62" s="187">
        <f t="shared" ref="J62:J67" si="33">I62*$J$61</f>
        <v>861802.53000674304</v>
      </c>
      <c r="K62" s="187">
        <f t="shared" ref="K62:K67" si="34">I62*$K$61</f>
        <v>655087.39042481454</v>
      </c>
    </row>
    <row r="63" spans="9:28" s="189" customFormat="1" hidden="1">
      <c r="I63" s="189">
        <f t="shared" si="32"/>
        <v>8856</v>
      </c>
      <c r="J63" s="187">
        <f t="shared" si="33"/>
        <v>670896.9062710721</v>
      </c>
      <c r="K63" s="187">
        <f t="shared" si="34"/>
        <v>509973.09507754556</v>
      </c>
    </row>
    <row r="64" spans="9:28" s="189" customFormat="1" hidden="1">
      <c r="I64" s="189">
        <f t="shared" si="32"/>
        <v>8640</v>
      </c>
      <c r="J64" s="187">
        <f t="shared" si="33"/>
        <v>654533.56709372893</v>
      </c>
      <c r="K64" s="187">
        <f t="shared" si="34"/>
        <v>497534.72690492246</v>
      </c>
    </row>
    <row r="65" spans="9:11" s="189" customFormat="1" hidden="1">
      <c r="I65" s="189">
        <f t="shared" si="32"/>
        <v>15084</v>
      </c>
      <c r="J65" s="187">
        <f t="shared" si="33"/>
        <v>1142706.5192178017</v>
      </c>
      <c r="K65" s="187">
        <f t="shared" si="34"/>
        <v>868612.71072151046</v>
      </c>
    </row>
    <row r="66" spans="9:11" s="189" customFormat="1" hidden="1">
      <c r="I66" s="189">
        <f t="shared" si="32"/>
        <v>46224</v>
      </c>
      <c r="J66" s="187">
        <f t="shared" si="33"/>
        <v>3501754.58395145</v>
      </c>
      <c r="K66" s="187">
        <f t="shared" si="34"/>
        <v>2661810.7889413354</v>
      </c>
    </row>
    <row r="67" spans="9:11" s="189" customFormat="1" hidden="1">
      <c r="I67" s="189">
        <f t="shared" si="32"/>
        <v>16596</v>
      </c>
      <c r="J67" s="187">
        <f t="shared" si="33"/>
        <v>1257249.8934592044</v>
      </c>
      <c r="K67" s="187">
        <f t="shared" si="34"/>
        <v>955681.28792987193</v>
      </c>
    </row>
    <row r="68" spans="9:11" s="189" customFormat="1" hidden="1">
      <c r="I68" s="189">
        <f>SUM(I62:I67)</f>
        <v>106776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26">
    <mergeCell ref="AM7:AM8"/>
    <mergeCell ref="AN7:AN8"/>
    <mergeCell ref="A32:C32"/>
    <mergeCell ref="B7:B8"/>
    <mergeCell ref="A7:A8"/>
    <mergeCell ref="C7:C8"/>
    <mergeCell ref="A25:A26"/>
    <mergeCell ref="AK7:AK8"/>
    <mergeCell ref="AL7:AL8"/>
    <mergeCell ref="AH7:AH8"/>
    <mergeCell ref="AI7:AI8"/>
    <mergeCell ref="AJ7:AJ8"/>
    <mergeCell ref="O7:O8"/>
    <mergeCell ref="T7:T8"/>
    <mergeCell ref="U7:U8"/>
    <mergeCell ref="A5:L5"/>
    <mergeCell ref="D7:H7"/>
    <mergeCell ref="I7:I8"/>
    <mergeCell ref="J7:L7"/>
    <mergeCell ref="AG7:AG8"/>
    <mergeCell ref="AE7:AE8"/>
    <mergeCell ref="AF7:AF8"/>
    <mergeCell ref="P7:P8"/>
    <mergeCell ref="Q7:Q8"/>
    <mergeCell ref="Y7:Y8"/>
    <mergeCell ref="Z7:Z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2022-02-25T10:22:20Z</cp:lastPrinted>
  <dcterms:created xsi:type="dcterms:W3CDTF">2018-11-21T04:22:49Z</dcterms:created>
  <dcterms:modified xsi:type="dcterms:W3CDTF">2022-05-04T04:21:18Z</dcterms:modified>
</cp:coreProperties>
</file>