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19320" windowHeight="11760" firstSheet="1" activeTab="2"/>
  </bookViews>
  <sheets>
    <sheet name="01.01.2016" sheetId="1" state="hidden" r:id="rId1"/>
    <sheet name="25.02.2016" sheetId="2" r:id="rId2"/>
    <sheet name="30.09.2016" sheetId="3" r:id="rId3"/>
  </sheets>
  <calcPr calcId="124519"/>
</workbook>
</file>

<file path=xl/calcChain.xml><?xml version="1.0" encoding="utf-8"?>
<calcChain xmlns="http://schemas.openxmlformats.org/spreadsheetml/2006/main">
  <c r="N137" i="3"/>
  <c r="N104"/>
  <c r="O113"/>
  <c r="N113"/>
  <c r="O105"/>
  <c r="P105"/>
  <c r="Q105"/>
  <c r="R105"/>
  <c r="S105"/>
  <c r="N105"/>
  <c r="N98"/>
  <c r="N97"/>
  <c r="N90"/>
  <c r="P113"/>
  <c r="Q113"/>
  <c r="R113"/>
  <c r="S113"/>
  <c r="N99"/>
  <c r="O20"/>
  <c r="G66"/>
  <c r="G64"/>
  <c r="G65"/>
  <c r="Q137"/>
  <c r="P137"/>
  <c r="P138" s="1"/>
  <c r="Q138"/>
  <c r="Q104"/>
  <c r="P104"/>
  <c r="P99"/>
  <c r="P114"/>
  <c r="G99"/>
  <c r="P46"/>
  <c r="P44"/>
  <c r="G45"/>
  <c r="P45" s="1"/>
  <c r="G46"/>
  <c r="O81"/>
  <c r="P81"/>
  <c r="Q81"/>
  <c r="R81"/>
  <c r="S81"/>
  <c r="O75"/>
  <c r="P75"/>
  <c r="P74" s="1"/>
  <c r="Q75"/>
  <c r="R75"/>
  <c r="R74" s="1"/>
  <c r="S75"/>
  <c r="O74"/>
  <c r="Q74"/>
  <c r="S74"/>
  <c r="O69"/>
  <c r="P69"/>
  <c r="Q69"/>
  <c r="R69"/>
  <c r="S69"/>
  <c r="N68"/>
  <c r="R62"/>
  <c r="S62"/>
  <c r="O55"/>
  <c r="P55"/>
  <c r="Q55"/>
  <c r="R55"/>
  <c r="S55"/>
  <c r="N55"/>
  <c r="O54"/>
  <c r="P54"/>
  <c r="Q54"/>
  <c r="R54"/>
  <c r="S54"/>
  <c r="N54"/>
  <c r="O49"/>
  <c r="P49"/>
  <c r="Q49"/>
  <c r="R49"/>
  <c r="S49"/>
  <c r="R43"/>
  <c r="S43"/>
  <c r="O36"/>
  <c r="P36"/>
  <c r="Q36"/>
  <c r="R36"/>
  <c r="S36"/>
  <c r="O30"/>
  <c r="P30"/>
  <c r="Q30"/>
  <c r="R30"/>
  <c r="S30"/>
  <c r="N29"/>
  <c r="O23"/>
  <c r="P23"/>
  <c r="Q23"/>
  <c r="R23"/>
  <c r="S23"/>
  <c r="N22"/>
  <c r="O13"/>
  <c r="P13"/>
  <c r="Q13"/>
  <c r="R13"/>
  <c r="S13"/>
  <c r="N13"/>
  <c r="N12"/>
  <c r="R42"/>
  <c r="S42"/>
  <c r="S46"/>
  <c r="R46"/>
  <c r="O68"/>
  <c r="P68"/>
  <c r="Q68"/>
  <c r="R68"/>
  <c r="S68"/>
  <c r="N69"/>
  <c r="P85"/>
  <c r="P79"/>
  <c r="P73"/>
  <c r="P67"/>
  <c r="P60"/>
  <c r="P53"/>
  <c r="P41"/>
  <c r="P34"/>
  <c r="P28"/>
  <c r="P21"/>
  <c r="N21" i="2"/>
  <c r="P22" i="3"/>
  <c r="P18"/>
  <c r="G241" l="1"/>
  <c r="K228"/>
  <c r="V224"/>
  <c r="S229"/>
  <c r="R229"/>
  <c r="J229"/>
  <c r="G229"/>
  <c r="O229" s="1"/>
  <c r="N229" s="1"/>
  <c r="S221"/>
  <c r="R221"/>
  <c r="G221"/>
  <c r="O221" s="1"/>
  <c r="N221" s="1"/>
  <c r="J221"/>
  <c r="Q231"/>
  <c r="P231"/>
  <c r="O231"/>
  <c r="V231"/>
  <c r="O224"/>
  <c r="U224"/>
  <c r="O223"/>
  <c r="V223"/>
  <c r="U223"/>
  <c r="S231"/>
  <c r="R231"/>
  <c r="S223"/>
  <c r="R223"/>
  <c r="Q223"/>
  <c r="P223"/>
  <c r="S224"/>
  <c r="R224"/>
  <c r="Q224"/>
  <c r="P224"/>
  <c r="S218"/>
  <c r="J220"/>
  <c r="R219"/>
  <c r="Q219"/>
  <c r="P219"/>
  <c r="O219"/>
  <c r="S193" l="1"/>
  <c r="S194"/>
  <c r="R194"/>
  <c r="R195"/>
  <c r="R196"/>
  <c r="R193"/>
  <c r="J193"/>
  <c r="J194"/>
  <c r="G193"/>
  <c r="O193" s="1"/>
  <c r="N193" s="1"/>
  <c r="G194"/>
  <c r="O194" s="1"/>
  <c r="N194" s="1"/>
  <c r="G83"/>
  <c r="P83" s="1"/>
  <c r="G84"/>
  <c r="P84" s="1"/>
  <c r="G85"/>
  <c r="G82"/>
  <c r="P82" s="1"/>
  <c r="G77"/>
  <c r="P77" s="1"/>
  <c r="G78"/>
  <c r="P78" s="1"/>
  <c r="G79"/>
  <c r="G76"/>
  <c r="P76" s="1"/>
  <c r="P70"/>
  <c r="O70"/>
  <c r="N70"/>
  <c r="M72"/>
  <c r="R72" s="1"/>
  <c r="G72"/>
  <c r="P72" s="1"/>
  <c r="G71"/>
  <c r="P71" s="1"/>
  <c r="G73"/>
  <c r="G70"/>
  <c r="P64"/>
  <c r="P66"/>
  <c r="N64"/>
  <c r="N66"/>
  <c r="O64"/>
  <c r="P65"/>
  <c r="O66"/>
  <c r="G63"/>
  <c r="O63" s="1"/>
  <c r="P57"/>
  <c r="P59"/>
  <c r="O60"/>
  <c r="N60"/>
  <c r="N59"/>
  <c r="G59"/>
  <c r="O59" s="1"/>
  <c r="M59"/>
  <c r="R59" s="1"/>
  <c r="G57"/>
  <c r="O57" s="1"/>
  <c r="G58"/>
  <c r="P58" s="1"/>
  <c r="G60"/>
  <c r="G56"/>
  <c r="O56" s="1"/>
  <c r="O52"/>
  <c r="O50"/>
  <c r="G52"/>
  <c r="P52" s="1"/>
  <c r="G51"/>
  <c r="N51" s="1"/>
  <c r="G50"/>
  <c r="N50" s="1"/>
  <c r="O45"/>
  <c r="J46"/>
  <c r="N46"/>
  <c r="M46"/>
  <c r="O46"/>
  <c r="G44"/>
  <c r="O44" s="1"/>
  <c r="N45"/>
  <c r="N43" s="1"/>
  <c r="P38"/>
  <c r="P40"/>
  <c r="N38"/>
  <c r="N40"/>
  <c r="G40"/>
  <c r="O40" s="1"/>
  <c r="G39"/>
  <c r="P39" s="1"/>
  <c r="G38"/>
  <c r="O38" s="1"/>
  <c r="G37"/>
  <c r="O37" s="1"/>
  <c r="P33"/>
  <c r="P31"/>
  <c r="O34"/>
  <c r="O31"/>
  <c r="N34"/>
  <c r="N31"/>
  <c r="G33"/>
  <c r="O33" s="1"/>
  <c r="G32"/>
  <c r="P32" s="1"/>
  <c r="G31"/>
  <c r="G27"/>
  <c r="P27" s="1"/>
  <c r="G26"/>
  <c r="P26" s="1"/>
  <c r="G25"/>
  <c r="P25" s="1"/>
  <c r="O24"/>
  <c r="G24"/>
  <c r="P24" s="1"/>
  <c r="P20"/>
  <c r="N17"/>
  <c r="G67"/>
  <c r="G53"/>
  <c r="G47"/>
  <c r="P47" s="1"/>
  <c r="G41"/>
  <c r="G34"/>
  <c r="G28"/>
  <c r="G21"/>
  <c r="G17"/>
  <c r="P17" s="1"/>
  <c r="P62" l="1"/>
  <c r="Q46"/>
  <c r="O43"/>
  <c r="N47"/>
  <c r="N42" s="1"/>
  <c r="O47"/>
  <c r="Q60"/>
  <c r="Q59"/>
  <c r="N63"/>
  <c r="O67"/>
  <c r="O65"/>
  <c r="O62" s="1"/>
  <c r="P63"/>
  <c r="N72"/>
  <c r="O72"/>
  <c r="Q72" s="1"/>
  <c r="N79"/>
  <c r="N77"/>
  <c r="O79"/>
  <c r="O77"/>
  <c r="N85"/>
  <c r="N83"/>
  <c r="O85"/>
  <c r="O83"/>
  <c r="N26"/>
  <c r="N37"/>
  <c r="O41"/>
  <c r="O39"/>
  <c r="P37"/>
  <c r="N44"/>
  <c r="S59"/>
  <c r="N56"/>
  <c r="O58"/>
  <c r="P56"/>
  <c r="O26"/>
  <c r="N24"/>
  <c r="N32"/>
  <c r="N33"/>
  <c r="O32"/>
  <c r="N41"/>
  <c r="N39"/>
  <c r="O53"/>
  <c r="N57"/>
  <c r="Q57" s="1"/>
  <c r="N58"/>
  <c r="Q58" s="1"/>
  <c r="N67"/>
  <c r="N65"/>
  <c r="N73"/>
  <c r="N71"/>
  <c r="O73"/>
  <c r="O71"/>
  <c r="N76"/>
  <c r="N78"/>
  <c r="O76"/>
  <c r="O78"/>
  <c r="N82"/>
  <c r="N84"/>
  <c r="O82"/>
  <c r="O84"/>
  <c r="S72"/>
  <c r="P50"/>
  <c r="N52"/>
  <c r="N49" s="1"/>
  <c r="O51"/>
  <c r="P51"/>
  <c r="O25"/>
  <c r="O27"/>
  <c r="N25"/>
  <c r="N27"/>
  <c r="J16"/>
  <c r="M16" s="1"/>
  <c r="G16"/>
  <c r="O16" s="1"/>
  <c r="O42" l="1"/>
  <c r="R16"/>
  <c r="S16"/>
  <c r="N16"/>
  <c r="P16"/>
  <c r="O17"/>
  <c r="G15"/>
  <c r="N15" s="1"/>
  <c r="S178"/>
  <c r="S179"/>
  <c r="R178"/>
  <c r="R179"/>
  <c r="R177"/>
  <c r="R170"/>
  <c r="O15" l="1"/>
  <c r="P15"/>
  <c r="Q16"/>
  <c r="F244"/>
  <c r="F242"/>
  <c r="F243"/>
  <c r="G228"/>
  <c r="P228" s="1"/>
  <c r="P230" s="1"/>
  <c r="S227"/>
  <c r="S226"/>
  <c r="R227"/>
  <c r="R226"/>
  <c r="G227"/>
  <c r="O227" s="1"/>
  <c r="N227" s="1"/>
  <c r="G226"/>
  <c r="J227"/>
  <c r="J226"/>
  <c r="F235"/>
  <c r="H235"/>
  <c r="I235"/>
  <c r="J234"/>
  <c r="R234" s="1"/>
  <c r="G234"/>
  <c r="G233"/>
  <c r="F199"/>
  <c r="H199"/>
  <c r="I199"/>
  <c r="K209"/>
  <c r="J209" s="1"/>
  <c r="R209" s="1"/>
  <c r="G215"/>
  <c r="G214"/>
  <c r="O214" s="1"/>
  <c r="F216"/>
  <c r="H216"/>
  <c r="I216"/>
  <c r="F207"/>
  <c r="H207"/>
  <c r="I207"/>
  <c r="F213"/>
  <c r="H213"/>
  <c r="I213"/>
  <c r="S211"/>
  <c r="R211"/>
  <c r="G211"/>
  <c r="O211" s="1"/>
  <c r="N211" s="1"/>
  <c r="J211"/>
  <c r="G209"/>
  <c r="P209" s="1"/>
  <c r="G208"/>
  <c r="G213" s="1"/>
  <c r="K206"/>
  <c r="G206"/>
  <c r="S204"/>
  <c r="S203"/>
  <c r="R204"/>
  <c r="R203"/>
  <c r="G204"/>
  <c r="O204" s="1"/>
  <c r="N204" s="1"/>
  <c r="G203"/>
  <c r="O203" s="1"/>
  <c r="N203" s="1"/>
  <c r="J204"/>
  <c r="J203"/>
  <c r="G201"/>
  <c r="Q201" s="1"/>
  <c r="G200"/>
  <c r="Q200" s="1"/>
  <c r="G198"/>
  <c r="O198" s="1"/>
  <c r="N198" s="1"/>
  <c r="G197"/>
  <c r="Q197" s="1"/>
  <c r="S196"/>
  <c r="S195"/>
  <c r="G196"/>
  <c r="G195"/>
  <c r="O195" s="1"/>
  <c r="N195" s="1"/>
  <c r="J195"/>
  <c r="J196"/>
  <c r="G191"/>
  <c r="G199" s="1"/>
  <c r="G165"/>
  <c r="G164"/>
  <c r="G140"/>
  <c r="G139"/>
  <c r="G185"/>
  <c r="J178"/>
  <c r="J179"/>
  <c r="G171"/>
  <c r="G172"/>
  <c r="G188"/>
  <c r="G187"/>
  <c r="O187" s="1"/>
  <c r="N187" s="1"/>
  <c r="F189"/>
  <c r="H189"/>
  <c r="I189"/>
  <c r="F186"/>
  <c r="H186"/>
  <c r="I186"/>
  <c r="S184"/>
  <c r="R184"/>
  <c r="G184"/>
  <c r="O184" s="1"/>
  <c r="N184" s="1"/>
  <c r="J184"/>
  <c r="G182"/>
  <c r="F181"/>
  <c r="H181"/>
  <c r="I181"/>
  <c r="G180"/>
  <c r="S177"/>
  <c r="G178"/>
  <c r="G179"/>
  <c r="G177"/>
  <c r="O177" s="1"/>
  <c r="J177"/>
  <c r="G175"/>
  <c r="F174"/>
  <c r="H174"/>
  <c r="I174"/>
  <c r="G173"/>
  <c r="S171"/>
  <c r="S172"/>
  <c r="S170"/>
  <c r="R171"/>
  <c r="R172"/>
  <c r="J171"/>
  <c r="J172"/>
  <c r="J170"/>
  <c r="G170"/>
  <c r="G168"/>
  <c r="Q168" s="1"/>
  <c r="K137"/>
  <c r="S137" s="1"/>
  <c r="K104"/>
  <c r="R104" s="1"/>
  <c r="F138"/>
  <c r="H138"/>
  <c r="I138"/>
  <c r="J104"/>
  <c r="J102"/>
  <c r="J103"/>
  <c r="J101"/>
  <c r="F166"/>
  <c r="H166"/>
  <c r="I166"/>
  <c r="S161"/>
  <c r="S160"/>
  <c r="R161"/>
  <c r="R160"/>
  <c r="F163"/>
  <c r="H163"/>
  <c r="I163"/>
  <c r="G161"/>
  <c r="G160"/>
  <c r="O160" s="1"/>
  <c r="N160" s="1"/>
  <c r="J161"/>
  <c r="O161"/>
  <c r="N161" s="1"/>
  <c r="J160"/>
  <c r="G158"/>
  <c r="F150"/>
  <c r="H150"/>
  <c r="I150"/>
  <c r="F157"/>
  <c r="H157"/>
  <c r="I157"/>
  <c r="G156"/>
  <c r="J153"/>
  <c r="J154"/>
  <c r="S154"/>
  <c r="S155"/>
  <c r="S153"/>
  <c r="R154"/>
  <c r="R155"/>
  <c r="R153"/>
  <c r="J155"/>
  <c r="G154"/>
  <c r="O154" s="1"/>
  <c r="N154" s="1"/>
  <c r="G153"/>
  <c r="O153" s="1"/>
  <c r="N153" s="1"/>
  <c r="G155"/>
  <c r="O155" s="1"/>
  <c r="N155" s="1"/>
  <c r="G151"/>
  <c r="P151" s="1"/>
  <c r="S146"/>
  <c r="S147"/>
  <c r="S148"/>
  <c r="S145"/>
  <c r="R146"/>
  <c r="R147"/>
  <c r="R148"/>
  <c r="R145"/>
  <c r="G146"/>
  <c r="O146" s="1"/>
  <c r="N146" s="1"/>
  <c r="G147"/>
  <c r="O147" s="1"/>
  <c r="N147" s="1"/>
  <c r="G148"/>
  <c r="O148" s="1"/>
  <c r="N148" s="1"/>
  <c r="G145"/>
  <c r="O145" s="1"/>
  <c r="N145" s="1"/>
  <c r="J145"/>
  <c r="J146"/>
  <c r="J147"/>
  <c r="J148"/>
  <c r="G143"/>
  <c r="P143" s="1"/>
  <c r="F141"/>
  <c r="H141"/>
  <c r="I141"/>
  <c r="G137"/>
  <c r="S136"/>
  <c r="S135"/>
  <c r="R136"/>
  <c r="R135"/>
  <c r="G136"/>
  <c r="O136" s="1"/>
  <c r="N136" s="1"/>
  <c r="G135"/>
  <c r="O135" s="1"/>
  <c r="N135" s="1"/>
  <c r="J135"/>
  <c r="J136"/>
  <c r="G133"/>
  <c r="G131"/>
  <c r="P131" s="1"/>
  <c r="F132"/>
  <c r="H132"/>
  <c r="I132"/>
  <c r="E132"/>
  <c r="S127"/>
  <c r="S128"/>
  <c r="S129"/>
  <c r="S130"/>
  <c r="S126"/>
  <c r="R127"/>
  <c r="R128"/>
  <c r="R129"/>
  <c r="R130"/>
  <c r="R126"/>
  <c r="J127"/>
  <c r="J128"/>
  <c r="J129"/>
  <c r="J130"/>
  <c r="J126"/>
  <c r="G127"/>
  <c r="O127" s="1"/>
  <c r="N127" s="1"/>
  <c r="G128"/>
  <c r="O128" s="1"/>
  <c r="N128" s="1"/>
  <c r="G129"/>
  <c r="O129" s="1"/>
  <c r="N129" s="1"/>
  <c r="G130"/>
  <c r="O130" s="1"/>
  <c r="N130" s="1"/>
  <c r="G126"/>
  <c r="O126" s="1"/>
  <c r="N126" s="1"/>
  <c r="G124"/>
  <c r="P124" s="1"/>
  <c r="H123"/>
  <c r="I123"/>
  <c r="F123"/>
  <c r="G122"/>
  <c r="P122" s="1"/>
  <c r="S117"/>
  <c r="S118"/>
  <c r="S119"/>
  <c r="S120"/>
  <c r="S121"/>
  <c r="S116"/>
  <c r="R117"/>
  <c r="R118"/>
  <c r="R119"/>
  <c r="R120"/>
  <c r="R121"/>
  <c r="R116"/>
  <c r="J117"/>
  <c r="J118"/>
  <c r="J119"/>
  <c r="J120"/>
  <c r="J121"/>
  <c r="J116"/>
  <c r="G117"/>
  <c r="O117" s="1"/>
  <c r="N117" s="1"/>
  <c r="G118"/>
  <c r="O118" s="1"/>
  <c r="N118" s="1"/>
  <c r="G119"/>
  <c r="O119" s="1"/>
  <c r="N119" s="1"/>
  <c r="G120"/>
  <c r="O120" s="1"/>
  <c r="N120" s="1"/>
  <c r="G121"/>
  <c r="O121" s="1"/>
  <c r="N121" s="1"/>
  <c r="G116"/>
  <c r="O116" s="1"/>
  <c r="N116" s="1"/>
  <c r="G114"/>
  <c r="G104"/>
  <c r="G102"/>
  <c r="O102" s="1"/>
  <c r="N102" s="1"/>
  <c r="G103"/>
  <c r="O103" s="1"/>
  <c r="N103" s="1"/>
  <c r="G101"/>
  <c r="O101" s="1"/>
  <c r="N101" s="1"/>
  <c r="G93"/>
  <c r="O93" s="1"/>
  <c r="N93" s="1"/>
  <c r="G94"/>
  <c r="O94" s="1"/>
  <c r="N94" s="1"/>
  <c r="G95"/>
  <c r="O95" s="1"/>
  <c r="N95" s="1"/>
  <c r="G96"/>
  <c r="O96" s="1"/>
  <c r="N96" s="1"/>
  <c r="G92"/>
  <c r="O92" s="1"/>
  <c r="N92" s="1"/>
  <c r="P112"/>
  <c r="Q112"/>
  <c r="G111"/>
  <c r="O111" s="1"/>
  <c r="F112"/>
  <c r="G110"/>
  <c r="F109"/>
  <c r="G106"/>
  <c r="Q106" s="1"/>
  <c r="Q109" s="1"/>
  <c r="F105"/>
  <c r="S104"/>
  <c r="S102"/>
  <c r="S103"/>
  <c r="S101"/>
  <c r="R102"/>
  <c r="R103"/>
  <c r="R101"/>
  <c r="S93"/>
  <c r="S94"/>
  <c r="S95"/>
  <c r="S96"/>
  <c r="S92"/>
  <c r="R93"/>
  <c r="R94"/>
  <c r="R95"/>
  <c r="R96"/>
  <c r="R92"/>
  <c r="J93"/>
  <c r="J94"/>
  <c r="J95"/>
  <c r="J96"/>
  <c r="J92"/>
  <c r="Q99"/>
  <c r="F98"/>
  <c r="G97"/>
  <c r="P97" s="1"/>
  <c r="G90"/>
  <c r="P90" s="1"/>
  <c r="G14"/>
  <c r="J244"/>
  <c r="K244" s="1"/>
  <c r="L244" s="1"/>
  <c r="J243"/>
  <c r="K243" s="1"/>
  <c r="L243" s="1"/>
  <c r="J242"/>
  <c r="K242" s="1"/>
  <c r="L242" s="1"/>
  <c r="H241"/>
  <c r="E241"/>
  <c r="D241"/>
  <c r="Q235"/>
  <c r="P235"/>
  <c r="M235"/>
  <c r="E235"/>
  <c r="S234"/>
  <c r="O234"/>
  <c r="N234" s="1"/>
  <c r="O233"/>
  <c r="J233"/>
  <c r="S233" s="1"/>
  <c r="S232"/>
  <c r="R232"/>
  <c r="Q232"/>
  <c r="P232"/>
  <c r="O232"/>
  <c r="J228"/>
  <c r="S228" s="1"/>
  <c r="S230" s="1"/>
  <c r="S220"/>
  <c r="R220"/>
  <c r="O220"/>
  <c r="N220" s="1"/>
  <c r="S219"/>
  <c r="S222" s="1"/>
  <c r="R218"/>
  <c r="Q218"/>
  <c r="Q222" s="1"/>
  <c r="P218"/>
  <c r="P222" s="1"/>
  <c r="O218"/>
  <c r="O222" s="1"/>
  <c r="N222" s="1"/>
  <c r="Q216"/>
  <c r="P216"/>
  <c r="M216"/>
  <c r="E216"/>
  <c r="S215"/>
  <c r="R215"/>
  <c r="K215"/>
  <c r="J214"/>
  <c r="S214" s="1"/>
  <c r="S216" s="1"/>
  <c r="E213"/>
  <c r="K212"/>
  <c r="J212" s="1"/>
  <c r="K208"/>
  <c r="O208" s="1"/>
  <c r="E207"/>
  <c r="Q205"/>
  <c r="P205"/>
  <c r="K205"/>
  <c r="O205" s="1"/>
  <c r="K201"/>
  <c r="K200"/>
  <c r="E199"/>
  <c r="J198"/>
  <c r="S198" s="1"/>
  <c r="K197"/>
  <c r="K191"/>
  <c r="Q189"/>
  <c r="P189"/>
  <c r="M189"/>
  <c r="E189"/>
  <c r="J187"/>
  <c r="S187" s="1"/>
  <c r="E186"/>
  <c r="K185"/>
  <c r="J185" s="1"/>
  <c r="R185" s="1"/>
  <c r="K182"/>
  <c r="E181"/>
  <c r="K180"/>
  <c r="J180" s="1"/>
  <c r="K175"/>
  <c r="E174"/>
  <c r="K173"/>
  <c r="K168"/>
  <c r="O168" s="1"/>
  <c r="Q166"/>
  <c r="P166"/>
  <c r="M166"/>
  <c r="E166"/>
  <c r="S165"/>
  <c r="R165"/>
  <c r="K165"/>
  <c r="O165" s="1"/>
  <c r="N165" s="1"/>
  <c r="O164"/>
  <c r="J164"/>
  <c r="S164" s="1"/>
  <c r="S166" s="1"/>
  <c r="E163"/>
  <c r="K162"/>
  <c r="J162" s="1"/>
  <c r="K158"/>
  <c r="E157"/>
  <c r="K156"/>
  <c r="K151"/>
  <c r="E150"/>
  <c r="Q149"/>
  <c r="P149"/>
  <c r="K149"/>
  <c r="O149" s="1"/>
  <c r="K143"/>
  <c r="Q141"/>
  <c r="P141"/>
  <c r="M141"/>
  <c r="E141"/>
  <c r="S140"/>
  <c r="R140"/>
  <c r="K140"/>
  <c r="O140" s="1"/>
  <c r="O139"/>
  <c r="N139" s="1"/>
  <c r="J139"/>
  <c r="S139" s="1"/>
  <c r="S141" s="1"/>
  <c r="E138"/>
  <c r="K133"/>
  <c r="J133" s="1"/>
  <c r="R133" s="1"/>
  <c r="K131"/>
  <c r="K124"/>
  <c r="E123"/>
  <c r="K122"/>
  <c r="J122" s="1"/>
  <c r="R122" s="1"/>
  <c r="K114"/>
  <c r="M112"/>
  <c r="I112"/>
  <c r="H112"/>
  <c r="E112"/>
  <c r="S111"/>
  <c r="R111"/>
  <c r="K111"/>
  <c r="O110"/>
  <c r="J110"/>
  <c r="S110" s="1"/>
  <c r="S112" s="1"/>
  <c r="I109"/>
  <c r="H109"/>
  <c r="E109"/>
  <c r="S108"/>
  <c r="R108"/>
  <c r="K106"/>
  <c r="I105"/>
  <c r="H105"/>
  <c r="E105"/>
  <c r="K99"/>
  <c r="I98"/>
  <c r="H98"/>
  <c r="E98"/>
  <c r="K97"/>
  <c r="K90"/>
  <c r="M85"/>
  <c r="S85" s="1"/>
  <c r="M84"/>
  <c r="S84" s="1"/>
  <c r="M83"/>
  <c r="S83" s="1"/>
  <c r="O80"/>
  <c r="M82"/>
  <c r="S82" s="1"/>
  <c r="M81"/>
  <c r="M80"/>
  <c r="M79"/>
  <c r="S79" s="1"/>
  <c r="M78"/>
  <c r="S78" s="1"/>
  <c r="M77"/>
  <c r="S77" s="1"/>
  <c r="M76"/>
  <c r="S76" s="1"/>
  <c r="M75"/>
  <c r="M74"/>
  <c r="M73"/>
  <c r="S73" s="1"/>
  <c r="M71"/>
  <c r="S71" s="1"/>
  <c r="M70"/>
  <c r="S70" s="1"/>
  <c r="M69"/>
  <c r="M68"/>
  <c r="M67"/>
  <c r="S67" s="1"/>
  <c r="M66"/>
  <c r="S66" s="1"/>
  <c r="M65"/>
  <c r="S65" s="1"/>
  <c r="M64"/>
  <c r="S64" s="1"/>
  <c r="P61"/>
  <c r="M63"/>
  <c r="S63" s="1"/>
  <c r="M62"/>
  <c r="M61"/>
  <c r="M60"/>
  <c r="S60" s="1"/>
  <c r="M58"/>
  <c r="S58" s="1"/>
  <c r="M57"/>
  <c r="R57" s="1"/>
  <c r="M56"/>
  <c r="S56" s="1"/>
  <c r="M55"/>
  <c r="M54"/>
  <c r="N53"/>
  <c r="M53"/>
  <c r="R53" s="1"/>
  <c r="M52"/>
  <c r="S52" s="1"/>
  <c r="M51"/>
  <c r="R51" s="1"/>
  <c r="P48"/>
  <c r="O48"/>
  <c r="M50"/>
  <c r="S50" s="1"/>
  <c r="M49"/>
  <c r="M48"/>
  <c r="M47"/>
  <c r="S47" s="1"/>
  <c r="P43"/>
  <c r="P42" s="1"/>
  <c r="M45"/>
  <c r="S45" s="1"/>
  <c r="M44"/>
  <c r="S44" s="1"/>
  <c r="M43"/>
  <c r="M42"/>
  <c r="M41"/>
  <c r="S41" s="1"/>
  <c r="M40"/>
  <c r="S40" s="1"/>
  <c r="M39"/>
  <c r="S39" s="1"/>
  <c r="M38"/>
  <c r="S38" s="1"/>
  <c r="P35"/>
  <c r="O35"/>
  <c r="M37"/>
  <c r="S37" s="1"/>
  <c r="M36"/>
  <c r="M35"/>
  <c r="M34"/>
  <c r="S34" s="1"/>
  <c r="M33"/>
  <c r="S33" s="1"/>
  <c r="M32"/>
  <c r="S32" s="1"/>
  <c r="O29"/>
  <c r="M31"/>
  <c r="S31" s="1"/>
  <c r="M30"/>
  <c r="M29"/>
  <c r="O28"/>
  <c r="N28"/>
  <c r="M28"/>
  <c r="S28" s="1"/>
  <c r="M27"/>
  <c r="S27" s="1"/>
  <c r="M26"/>
  <c r="S26" s="1"/>
  <c r="M25"/>
  <c r="S25" s="1"/>
  <c r="M24"/>
  <c r="S24" s="1"/>
  <c r="M23"/>
  <c r="M22"/>
  <c r="O21"/>
  <c r="N21"/>
  <c r="M21"/>
  <c r="S21" s="1"/>
  <c r="N20"/>
  <c r="N19" s="1"/>
  <c r="N18" s="1"/>
  <c r="M20"/>
  <c r="P19"/>
  <c r="M19"/>
  <c r="M18"/>
  <c r="M17"/>
  <c r="R17" s="1"/>
  <c r="M15"/>
  <c r="S15" s="1"/>
  <c r="M14"/>
  <c r="S14" s="1"/>
  <c r="N18" i="2"/>
  <c r="M18"/>
  <c r="L18"/>
  <c r="L17" s="1"/>
  <c r="M17"/>
  <c r="N17"/>
  <c r="N12"/>
  <c r="N13"/>
  <c r="N14"/>
  <c r="N15"/>
  <c r="N19"/>
  <c r="N22"/>
  <c r="N23"/>
  <c r="N24"/>
  <c r="N25"/>
  <c r="N26"/>
  <c r="N29"/>
  <c r="N30"/>
  <c r="N31"/>
  <c r="N32"/>
  <c r="N35"/>
  <c r="N36"/>
  <c r="N37"/>
  <c r="N38"/>
  <c r="N39"/>
  <c r="N42"/>
  <c r="N43"/>
  <c r="N44"/>
  <c r="N47"/>
  <c r="N48"/>
  <c r="N49"/>
  <c r="N50"/>
  <c r="N53"/>
  <c r="N54"/>
  <c r="N55"/>
  <c r="N56"/>
  <c r="N59"/>
  <c r="N60"/>
  <c r="N61"/>
  <c r="N62"/>
  <c r="N63"/>
  <c r="N66"/>
  <c r="N67"/>
  <c r="N68"/>
  <c r="N71"/>
  <c r="N72"/>
  <c r="N73"/>
  <c r="N74"/>
  <c r="N77"/>
  <c r="N76" s="1"/>
  <c r="N75" s="1"/>
  <c r="N78"/>
  <c r="N79"/>
  <c r="N80"/>
  <c r="N11"/>
  <c r="N10" s="1"/>
  <c r="M12"/>
  <c r="M13"/>
  <c r="M14"/>
  <c r="M15"/>
  <c r="M19"/>
  <c r="M22"/>
  <c r="M23"/>
  <c r="M24"/>
  <c r="M25"/>
  <c r="M26"/>
  <c r="M29"/>
  <c r="M30"/>
  <c r="M31"/>
  <c r="M32"/>
  <c r="M35"/>
  <c r="M36"/>
  <c r="M37"/>
  <c r="M38"/>
  <c r="M39"/>
  <c r="M42"/>
  <c r="M43"/>
  <c r="M44"/>
  <c r="M47"/>
  <c r="M48"/>
  <c r="M49"/>
  <c r="M50"/>
  <c r="M53"/>
  <c r="M54"/>
  <c r="M55"/>
  <c r="M56"/>
  <c r="M59"/>
  <c r="M60"/>
  <c r="M61"/>
  <c r="M62"/>
  <c r="M63"/>
  <c r="M66"/>
  <c r="M65" s="1"/>
  <c r="M67"/>
  <c r="M68"/>
  <c r="M71"/>
  <c r="M72"/>
  <c r="M73"/>
  <c r="M74"/>
  <c r="M77"/>
  <c r="M78"/>
  <c r="M79"/>
  <c r="M80"/>
  <c r="M11"/>
  <c r="M10" s="1"/>
  <c r="L26"/>
  <c r="L29"/>
  <c r="L30"/>
  <c r="L31"/>
  <c r="L32"/>
  <c r="L35"/>
  <c r="L36"/>
  <c r="L37"/>
  <c r="L38"/>
  <c r="L39"/>
  <c r="L42"/>
  <c r="L43"/>
  <c r="L44"/>
  <c r="L47"/>
  <c r="L48"/>
  <c r="L49"/>
  <c r="L50"/>
  <c r="L53"/>
  <c r="L54"/>
  <c r="L55"/>
  <c r="L56"/>
  <c r="L59"/>
  <c r="L60"/>
  <c r="L61"/>
  <c r="L62"/>
  <c r="L63"/>
  <c r="L66"/>
  <c r="L67"/>
  <c r="L68"/>
  <c r="L71"/>
  <c r="L72"/>
  <c r="L73"/>
  <c r="L74"/>
  <c r="L77"/>
  <c r="L78"/>
  <c r="L79"/>
  <c r="L80"/>
  <c r="L23"/>
  <c r="L24"/>
  <c r="L25"/>
  <c r="L13"/>
  <c r="L14"/>
  <c r="L12"/>
  <c r="K79"/>
  <c r="P79" s="1"/>
  <c r="K73"/>
  <c r="P73" s="1"/>
  <c r="K61"/>
  <c r="P61" s="1"/>
  <c r="K49"/>
  <c r="P49" s="1"/>
  <c r="K38"/>
  <c r="Q38" s="1"/>
  <c r="K31"/>
  <c r="P31" s="1"/>
  <c r="K25"/>
  <c r="P25" s="1"/>
  <c r="H190"/>
  <c r="I190" s="1"/>
  <c r="J190" s="1"/>
  <c r="H189"/>
  <c r="I189" s="1"/>
  <c r="J189" s="1"/>
  <c r="H188"/>
  <c r="I188" s="1"/>
  <c r="F187"/>
  <c r="E187"/>
  <c r="D187"/>
  <c r="O181"/>
  <c r="N181"/>
  <c r="K181"/>
  <c r="G181"/>
  <c r="F181"/>
  <c r="E181"/>
  <c r="Q180"/>
  <c r="P180"/>
  <c r="M180"/>
  <c r="L180" s="1"/>
  <c r="M179"/>
  <c r="H179"/>
  <c r="Q179" s="1"/>
  <c r="Q181" s="1"/>
  <c r="Q177"/>
  <c r="Q178" s="1"/>
  <c r="P177"/>
  <c r="P178" s="1"/>
  <c r="O177"/>
  <c r="O178" s="1"/>
  <c r="N177"/>
  <c r="N178" s="1"/>
  <c r="M177"/>
  <c r="O175"/>
  <c r="N175"/>
  <c r="M175"/>
  <c r="H175"/>
  <c r="P175" s="1"/>
  <c r="M174"/>
  <c r="L174" s="1"/>
  <c r="H174"/>
  <c r="Q174" s="1"/>
  <c r="Q173"/>
  <c r="P173"/>
  <c r="O173"/>
  <c r="N173"/>
  <c r="M173"/>
  <c r="Q172"/>
  <c r="P172"/>
  <c r="O172"/>
  <c r="N172"/>
  <c r="M172"/>
  <c r="Q170"/>
  <c r="P170"/>
  <c r="M170"/>
  <c r="L170" s="1"/>
  <c r="P169"/>
  <c r="Q169" s="1"/>
  <c r="O169"/>
  <c r="N169"/>
  <c r="M169"/>
  <c r="Q168"/>
  <c r="P168"/>
  <c r="O168"/>
  <c r="N168"/>
  <c r="M168"/>
  <c r="O166"/>
  <c r="N166"/>
  <c r="K166"/>
  <c r="G166"/>
  <c r="F166"/>
  <c r="E166"/>
  <c r="Q165"/>
  <c r="P165"/>
  <c r="I165"/>
  <c r="M165" s="1"/>
  <c r="L165" s="1"/>
  <c r="M164"/>
  <c r="H164"/>
  <c r="Q164" s="1"/>
  <c r="Q166" s="1"/>
  <c r="G163"/>
  <c r="F163"/>
  <c r="E163"/>
  <c r="I162"/>
  <c r="H162" s="1"/>
  <c r="Q162" s="1"/>
  <c r="Q161"/>
  <c r="P161"/>
  <c r="M161"/>
  <c r="L161" s="1"/>
  <c r="O160"/>
  <c r="O163" s="1"/>
  <c r="N160"/>
  <c r="N163" s="1"/>
  <c r="I160"/>
  <c r="M160" s="1"/>
  <c r="G159"/>
  <c r="F159"/>
  <c r="E159"/>
  <c r="Q158"/>
  <c r="P158"/>
  <c r="I158"/>
  <c r="M158" s="1"/>
  <c r="L158" s="1"/>
  <c r="O157"/>
  <c r="N157"/>
  <c r="I157"/>
  <c r="M157" s="1"/>
  <c r="Q156"/>
  <c r="P156"/>
  <c r="M156"/>
  <c r="L156" s="1"/>
  <c r="O155"/>
  <c r="N155"/>
  <c r="I155"/>
  <c r="M155" s="1"/>
  <c r="O154"/>
  <c r="N154"/>
  <c r="I154"/>
  <c r="M154" s="1"/>
  <c r="G153"/>
  <c r="F153"/>
  <c r="E153"/>
  <c r="M152"/>
  <c r="L152" s="1"/>
  <c r="H152"/>
  <c r="P152" s="1"/>
  <c r="O151"/>
  <c r="N151"/>
  <c r="I151"/>
  <c r="M151" s="1"/>
  <c r="Q150"/>
  <c r="P150"/>
  <c r="M150"/>
  <c r="L150" s="1"/>
  <c r="O149"/>
  <c r="N149"/>
  <c r="N153" s="1"/>
  <c r="I149"/>
  <c r="M149" s="1"/>
  <c r="O147"/>
  <c r="N147"/>
  <c r="K147"/>
  <c r="G147"/>
  <c r="F147"/>
  <c r="E147"/>
  <c r="Q146"/>
  <c r="P146"/>
  <c r="I146"/>
  <c r="M146" s="1"/>
  <c r="L146" s="1"/>
  <c r="M145"/>
  <c r="L145" s="1"/>
  <c r="H145"/>
  <c r="P145" s="1"/>
  <c r="G144"/>
  <c r="F144"/>
  <c r="E144"/>
  <c r="I143"/>
  <c r="H143" s="1"/>
  <c r="P143" s="1"/>
  <c r="Q142"/>
  <c r="P142"/>
  <c r="M142"/>
  <c r="L142" s="1"/>
  <c r="O141"/>
  <c r="O144" s="1"/>
  <c r="N141"/>
  <c r="N144" s="1"/>
  <c r="I141"/>
  <c r="M141" s="1"/>
  <c r="G140"/>
  <c r="F140"/>
  <c r="E140"/>
  <c r="O139"/>
  <c r="N139"/>
  <c r="I139"/>
  <c r="M139" s="1"/>
  <c r="Q138"/>
  <c r="P138"/>
  <c r="M138"/>
  <c r="L138" s="1"/>
  <c r="O137"/>
  <c r="O140" s="1"/>
  <c r="N137"/>
  <c r="N140" s="1"/>
  <c r="I137"/>
  <c r="M137" s="1"/>
  <c r="G136"/>
  <c r="F136"/>
  <c r="E136"/>
  <c r="O135"/>
  <c r="N135"/>
  <c r="I135"/>
  <c r="M135" s="1"/>
  <c r="Q134"/>
  <c r="P134"/>
  <c r="M134"/>
  <c r="L134" s="1"/>
  <c r="O133"/>
  <c r="O136" s="1"/>
  <c r="N133"/>
  <c r="N136" s="1"/>
  <c r="N148" s="1"/>
  <c r="I133"/>
  <c r="M133" s="1"/>
  <c r="O131"/>
  <c r="N131"/>
  <c r="K131"/>
  <c r="G131"/>
  <c r="F131"/>
  <c r="E131"/>
  <c r="Q130"/>
  <c r="P130"/>
  <c r="I130"/>
  <c r="M130" s="1"/>
  <c r="L130" s="1"/>
  <c r="M129"/>
  <c r="L129" s="1"/>
  <c r="H129"/>
  <c r="Q129" s="1"/>
  <c r="Q131" s="1"/>
  <c r="G128"/>
  <c r="F128"/>
  <c r="E128"/>
  <c r="I127"/>
  <c r="H127" s="1"/>
  <c r="Q127" s="1"/>
  <c r="Q126"/>
  <c r="P126"/>
  <c r="M126"/>
  <c r="L126" s="1"/>
  <c r="O125"/>
  <c r="O128" s="1"/>
  <c r="N125"/>
  <c r="N128" s="1"/>
  <c r="I125"/>
  <c r="M125" s="1"/>
  <c r="G124"/>
  <c r="F124"/>
  <c r="E124"/>
  <c r="O123"/>
  <c r="N123"/>
  <c r="I123"/>
  <c r="M123" s="1"/>
  <c r="Q122"/>
  <c r="P122"/>
  <c r="M122"/>
  <c r="L122" s="1"/>
  <c r="O121"/>
  <c r="N121"/>
  <c r="I121"/>
  <c r="H121" s="1"/>
  <c r="G120"/>
  <c r="F120"/>
  <c r="E120"/>
  <c r="O119"/>
  <c r="N119"/>
  <c r="I119"/>
  <c r="M119" s="1"/>
  <c r="Q118"/>
  <c r="P118"/>
  <c r="M118"/>
  <c r="L118" s="1"/>
  <c r="O117"/>
  <c r="O120" s="1"/>
  <c r="N117"/>
  <c r="I117"/>
  <c r="M117" s="1"/>
  <c r="O115"/>
  <c r="N115"/>
  <c r="K115"/>
  <c r="G115"/>
  <c r="F115"/>
  <c r="E115"/>
  <c r="Q114"/>
  <c r="P114"/>
  <c r="I114"/>
  <c r="M114" s="1"/>
  <c r="L114" s="1"/>
  <c r="M113"/>
  <c r="H113"/>
  <c r="P113" s="1"/>
  <c r="G112"/>
  <c r="F112"/>
  <c r="E112"/>
  <c r="Q111"/>
  <c r="P111"/>
  <c r="Q110"/>
  <c r="P110"/>
  <c r="M110"/>
  <c r="L110" s="1"/>
  <c r="O109"/>
  <c r="O112" s="1"/>
  <c r="N109"/>
  <c r="N112" s="1"/>
  <c r="I109"/>
  <c r="H109" s="1"/>
  <c r="G108"/>
  <c r="F108"/>
  <c r="E108"/>
  <c r="O107"/>
  <c r="N107"/>
  <c r="I107"/>
  <c r="M107" s="1"/>
  <c r="Q106"/>
  <c r="P106"/>
  <c r="M106"/>
  <c r="L106" s="1"/>
  <c r="O105"/>
  <c r="N105"/>
  <c r="N108" s="1"/>
  <c r="I105"/>
  <c r="M105" s="1"/>
  <c r="G104"/>
  <c r="F104"/>
  <c r="E104"/>
  <c r="O103"/>
  <c r="N103"/>
  <c r="I103"/>
  <c r="H103" s="1"/>
  <c r="Q102"/>
  <c r="P102"/>
  <c r="M102"/>
  <c r="L102" s="1"/>
  <c r="O101"/>
  <c r="N101"/>
  <c r="N104" s="1"/>
  <c r="I101"/>
  <c r="M101" s="1"/>
  <c r="O99"/>
  <c r="N99"/>
  <c r="K99"/>
  <c r="G99"/>
  <c r="F99"/>
  <c r="E99"/>
  <c r="Q98"/>
  <c r="P98"/>
  <c r="I98"/>
  <c r="M98" s="1"/>
  <c r="L98" s="1"/>
  <c r="M97"/>
  <c r="L97" s="1"/>
  <c r="H97"/>
  <c r="Q97" s="1"/>
  <c r="G96"/>
  <c r="F96"/>
  <c r="E96"/>
  <c r="Q95"/>
  <c r="P95"/>
  <c r="Q94"/>
  <c r="P94"/>
  <c r="M94"/>
  <c r="L94" s="1"/>
  <c r="O93"/>
  <c r="O96" s="1"/>
  <c r="N93"/>
  <c r="N96" s="1"/>
  <c r="I93"/>
  <c r="M93" s="1"/>
  <c r="G92"/>
  <c r="F92"/>
  <c r="E92"/>
  <c r="Q91"/>
  <c r="P91"/>
  <c r="Q90"/>
  <c r="P90"/>
  <c r="M90"/>
  <c r="L90" s="1"/>
  <c r="O89"/>
  <c r="O92" s="1"/>
  <c r="N89"/>
  <c r="N92" s="1"/>
  <c r="I89"/>
  <c r="H89" s="1"/>
  <c r="G88"/>
  <c r="F88"/>
  <c r="E88"/>
  <c r="O87"/>
  <c r="N87"/>
  <c r="I87"/>
  <c r="M87" s="1"/>
  <c r="Q86"/>
  <c r="P86"/>
  <c r="M86"/>
  <c r="L86" s="1"/>
  <c r="O85"/>
  <c r="O88" s="1"/>
  <c r="N85"/>
  <c r="N88" s="1"/>
  <c r="I85"/>
  <c r="M85" s="1"/>
  <c r="K80"/>
  <c r="Q80" s="1"/>
  <c r="K78"/>
  <c r="Q78" s="1"/>
  <c r="K77"/>
  <c r="P77" s="1"/>
  <c r="K76"/>
  <c r="K75"/>
  <c r="K74"/>
  <c r="Q74" s="1"/>
  <c r="K72"/>
  <c r="Q72" s="1"/>
  <c r="K71"/>
  <c r="P71" s="1"/>
  <c r="K70"/>
  <c r="K69"/>
  <c r="K68"/>
  <c r="Q68" s="1"/>
  <c r="K67"/>
  <c r="P67" s="1"/>
  <c r="K66"/>
  <c r="Q66" s="1"/>
  <c r="K65"/>
  <c r="K64"/>
  <c r="K63"/>
  <c r="P63" s="1"/>
  <c r="K62"/>
  <c r="Q62" s="1"/>
  <c r="K60"/>
  <c r="Q60" s="1"/>
  <c r="K59"/>
  <c r="P59" s="1"/>
  <c r="K58"/>
  <c r="K57"/>
  <c r="K56"/>
  <c r="Q56" s="1"/>
  <c r="K55"/>
  <c r="P55" s="1"/>
  <c r="K54"/>
  <c r="Q54" s="1"/>
  <c r="K53"/>
  <c r="P53" s="1"/>
  <c r="K52"/>
  <c r="K51"/>
  <c r="K50"/>
  <c r="Q50" s="1"/>
  <c r="K48"/>
  <c r="Q48" s="1"/>
  <c r="K47"/>
  <c r="P47" s="1"/>
  <c r="K46"/>
  <c r="K45"/>
  <c r="K44"/>
  <c r="Q44" s="1"/>
  <c r="K43"/>
  <c r="P43" s="1"/>
  <c r="K42"/>
  <c r="Q42" s="1"/>
  <c r="K41"/>
  <c r="K40"/>
  <c r="K39"/>
  <c r="P39" s="1"/>
  <c r="K37"/>
  <c r="P37" s="1"/>
  <c r="K36"/>
  <c r="Q36" s="1"/>
  <c r="K35"/>
  <c r="P35" s="1"/>
  <c r="K34"/>
  <c r="K33"/>
  <c r="K32"/>
  <c r="Q32" s="1"/>
  <c r="K30"/>
  <c r="Q30" s="1"/>
  <c r="K29"/>
  <c r="P29" s="1"/>
  <c r="K28"/>
  <c r="K27"/>
  <c r="K26"/>
  <c r="Q26" s="1"/>
  <c r="K24"/>
  <c r="Q24" s="1"/>
  <c r="K23"/>
  <c r="P23" s="1"/>
  <c r="L22"/>
  <c r="K22"/>
  <c r="Q22" s="1"/>
  <c r="K21"/>
  <c r="K20"/>
  <c r="L19"/>
  <c r="K19"/>
  <c r="P19" s="1"/>
  <c r="K18"/>
  <c r="K17"/>
  <c r="K16"/>
  <c r="K15"/>
  <c r="Q15" s="1"/>
  <c r="K14"/>
  <c r="P14" s="1"/>
  <c r="K13"/>
  <c r="Q13" s="1"/>
  <c r="K12"/>
  <c r="P12" s="1"/>
  <c r="L11"/>
  <c r="K11"/>
  <c r="P11" s="1"/>
  <c r="P10" s="1"/>
  <c r="H205" i="1"/>
  <c r="I205" s="1"/>
  <c r="J205" s="1"/>
  <c r="H204"/>
  <c r="I203"/>
  <c r="J203" s="1"/>
  <c r="H203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O186" s="1"/>
  <c r="N183"/>
  <c r="M183"/>
  <c r="M186" s="1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N174" s="1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O226" i="3" l="1"/>
  <c r="N226" s="1"/>
  <c r="S29"/>
  <c r="R222"/>
  <c r="Q208"/>
  <c r="G235"/>
  <c r="F241"/>
  <c r="O196"/>
  <c r="N196" s="1"/>
  <c r="O215"/>
  <c r="P14"/>
  <c r="O14"/>
  <c r="N14"/>
  <c r="Q175"/>
  <c r="O175"/>
  <c r="P175"/>
  <c r="O178"/>
  <c r="N178" s="1"/>
  <c r="O171"/>
  <c r="N171" s="1"/>
  <c r="P191"/>
  <c r="P197"/>
  <c r="P200"/>
  <c r="P201"/>
  <c r="O209"/>
  <c r="Q209"/>
  <c r="O228"/>
  <c r="Q228"/>
  <c r="Q230" s="1"/>
  <c r="O170"/>
  <c r="N170" s="1"/>
  <c r="O179"/>
  <c r="N179" s="1"/>
  <c r="O172"/>
  <c r="N172" s="1"/>
  <c r="O191"/>
  <c r="Q191"/>
  <c r="O197"/>
  <c r="P208"/>
  <c r="P213" s="1"/>
  <c r="G207"/>
  <c r="O200"/>
  <c r="O201"/>
  <c r="N177"/>
  <c r="S235"/>
  <c r="N215"/>
  <c r="S209"/>
  <c r="N209"/>
  <c r="G216"/>
  <c r="Q213"/>
  <c r="Q199"/>
  <c r="O61"/>
  <c r="P80"/>
  <c r="O235"/>
  <c r="O182"/>
  <c r="O186" s="1"/>
  <c r="N219"/>
  <c r="N224"/>
  <c r="O180"/>
  <c r="O156"/>
  <c r="O162"/>
  <c r="O173"/>
  <c r="O158"/>
  <c r="O124"/>
  <c r="G166"/>
  <c r="P168"/>
  <c r="G141"/>
  <c r="G98"/>
  <c r="G105"/>
  <c r="G112"/>
  <c r="Q173"/>
  <c r="Q174" s="1"/>
  <c r="P173"/>
  <c r="G174"/>
  <c r="G181"/>
  <c r="G186"/>
  <c r="P180"/>
  <c r="P182"/>
  <c r="P186" s="1"/>
  <c r="Q180"/>
  <c r="Q182"/>
  <c r="Q186" s="1"/>
  <c r="G138"/>
  <c r="G157"/>
  <c r="G189"/>
  <c r="P150"/>
  <c r="Q151"/>
  <c r="R137"/>
  <c r="R138" s="1"/>
  <c r="J137"/>
  <c r="O137"/>
  <c r="O104"/>
  <c r="G123"/>
  <c r="O112"/>
  <c r="O12"/>
  <c r="N23"/>
  <c r="S61"/>
  <c r="O155" i="1"/>
  <c r="N168"/>
  <c r="L187"/>
  <c r="O104" i="2"/>
  <c r="O108"/>
  <c r="O116" s="1"/>
  <c r="O153"/>
  <c r="L70"/>
  <c r="L65"/>
  <c r="G163" i="3"/>
  <c r="O103" i="1"/>
  <c r="O151"/>
  <c r="M76" i="2"/>
  <c r="M75" s="1"/>
  <c r="Q44" i="3"/>
  <c r="O143"/>
  <c r="O150" s="1"/>
  <c r="O151"/>
  <c r="Q156"/>
  <c r="Q158"/>
  <c r="Q163" s="1"/>
  <c r="G109"/>
  <c r="P199"/>
  <c r="Q143"/>
  <c r="Q150" s="1"/>
  <c r="P156"/>
  <c r="P157" s="1"/>
  <c r="G150"/>
  <c r="P158"/>
  <c r="P163" s="1"/>
  <c r="P29"/>
  <c r="P111" i="1"/>
  <c r="O119"/>
  <c r="P143"/>
  <c r="O168"/>
  <c r="N120" i="2"/>
  <c r="L76"/>
  <c r="L75" s="1"/>
  <c r="Q51" i="3"/>
  <c r="J182"/>
  <c r="R182" s="1"/>
  <c r="R186" s="1"/>
  <c r="Q207"/>
  <c r="Q236"/>
  <c r="Q122"/>
  <c r="Q124"/>
  <c r="G132"/>
  <c r="O133"/>
  <c r="Q133"/>
  <c r="Q114"/>
  <c r="P133"/>
  <c r="O114"/>
  <c r="P98"/>
  <c r="Q90"/>
  <c r="O97"/>
  <c r="Q97"/>
  <c r="P132"/>
  <c r="O131"/>
  <c r="Q131"/>
  <c r="N111"/>
  <c r="P106"/>
  <c r="P109" s="1"/>
  <c r="O122"/>
  <c r="Q26"/>
  <c r="Q31"/>
  <c r="Q33"/>
  <c r="Q66"/>
  <c r="Q73"/>
  <c r="Q76"/>
  <c r="Q78"/>
  <c r="Q84"/>
  <c r="J114"/>
  <c r="R114" s="1"/>
  <c r="R123" s="1"/>
  <c r="R139"/>
  <c r="R141" s="1"/>
  <c r="N149"/>
  <c r="P207"/>
  <c r="N201"/>
  <c r="N205"/>
  <c r="L241"/>
  <c r="O90"/>
  <c r="O99"/>
  <c r="O106"/>
  <c r="Q83"/>
  <c r="Q15"/>
  <c r="P12"/>
  <c r="Q17"/>
  <c r="Q20"/>
  <c r="Q19" s="1"/>
  <c r="Q25"/>
  <c r="Q32"/>
  <c r="Q37"/>
  <c r="Q39"/>
  <c r="Q41"/>
  <c r="Q52"/>
  <c r="Q63"/>
  <c r="Q65"/>
  <c r="Q67"/>
  <c r="Q71"/>
  <c r="Q79"/>
  <c r="Q82"/>
  <c r="R15"/>
  <c r="Q21"/>
  <c r="Q24"/>
  <c r="R25"/>
  <c r="Q27"/>
  <c r="Q28"/>
  <c r="R33"/>
  <c r="R37"/>
  <c r="Q40"/>
  <c r="R41"/>
  <c r="Q45"/>
  <c r="Q43" s="1"/>
  <c r="Q47"/>
  <c r="Q50"/>
  <c r="Q53"/>
  <c r="S53"/>
  <c r="R56"/>
  <c r="Q64"/>
  <c r="Q62" s="1"/>
  <c r="R65"/>
  <c r="Q70"/>
  <c r="R71"/>
  <c r="R76"/>
  <c r="R84"/>
  <c r="J99"/>
  <c r="R99" s="1"/>
  <c r="J151"/>
  <c r="R151" s="1"/>
  <c r="J156"/>
  <c r="R156" s="1"/>
  <c r="J168"/>
  <c r="R168" s="1"/>
  <c r="J173"/>
  <c r="R173" s="1"/>
  <c r="R187"/>
  <c r="N197"/>
  <c r="R198"/>
  <c r="N218"/>
  <c r="R228"/>
  <c r="R230" s="1"/>
  <c r="Q14"/>
  <c r="R21"/>
  <c r="R27"/>
  <c r="R31"/>
  <c r="Q34"/>
  <c r="Q38"/>
  <c r="R39"/>
  <c r="R45"/>
  <c r="R52"/>
  <c r="R58"/>
  <c r="R63"/>
  <c r="R67"/>
  <c r="Q77"/>
  <c r="R78"/>
  <c r="S80"/>
  <c r="R82"/>
  <c r="Q85"/>
  <c r="N223"/>
  <c r="N231"/>
  <c r="N232" s="1"/>
  <c r="J241"/>
  <c r="S22"/>
  <c r="S35"/>
  <c r="O141"/>
  <c r="N140"/>
  <c r="N141" s="1"/>
  <c r="S162"/>
  <c r="R162"/>
  <c r="O199"/>
  <c r="N191"/>
  <c r="N200"/>
  <c r="O213"/>
  <c r="N208"/>
  <c r="S212"/>
  <c r="R212"/>
  <c r="R14"/>
  <c r="S17"/>
  <c r="S12" s="1"/>
  <c r="O19"/>
  <c r="O18" s="1"/>
  <c r="O22"/>
  <c r="R24"/>
  <c r="R26"/>
  <c r="R28"/>
  <c r="N30"/>
  <c r="R32"/>
  <c r="R34"/>
  <c r="N36"/>
  <c r="N35" s="1"/>
  <c r="R38"/>
  <c r="R40"/>
  <c r="R44"/>
  <c r="R47"/>
  <c r="N48"/>
  <c r="R50"/>
  <c r="S51"/>
  <c r="S57"/>
  <c r="O166"/>
  <c r="O216"/>
  <c r="Q56"/>
  <c r="R60"/>
  <c r="N62"/>
  <c r="N61" s="1"/>
  <c r="R64"/>
  <c r="R66"/>
  <c r="R70"/>
  <c r="R73"/>
  <c r="N75"/>
  <c r="N74" s="1"/>
  <c r="R77"/>
  <c r="R79"/>
  <c r="N81"/>
  <c r="N80" s="1"/>
  <c r="R83"/>
  <c r="R85"/>
  <c r="J90"/>
  <c r="R90" s="1"/>
  <c r="J97"/>
  <c r="J106"/>
  <c r="R106" s="1"/>
  <c r="N110"/>
  <c r="R110"/>
  <c r="R112" s="1"/>
  <c r="S122"/>
  <c r="J124"/>
  <c r="J131"/>
  <c r="S133"/>
  <c r="S138" s="1"/>
  <c r="J143"/>
  <c r="J149"/>
  <c r="J158"/>
  <c r="N164"/>
  <c r="N166" s="1"/>
  <c r="R164"/>
  <c r="R166" s="1"/>
  <c r="J175"/>
  <c r="S182"/>
  <c r="S185"/>
  <c r="J191"/>
  <c r="J197"/>
  <c r="J200"/>
  <c r="J201"/>
  <c r="R201" s="1"/>
  <c r="J205"/>
  <c r="J208"/>
  <c r="N214"/>
  <c r="R214"/>
  <c r="R216" s="1"/>
  <c r="N233"/>
  <c r="N235" s="1"/>
  <c r="R233"/>
  <c r="R235" s="1"/>
  <c r="K241"/>
  <c r="H104" i="1"/>
  <c r="Q104" s="1"/>
  <c r="Q107" s="1"/>
  <c r="P114"/>
  <c r="H118"/>
  <c r="Q118" s="1"/>
  <c r="N123"/>
  <c r="M122"/>
  <c r="L122" s="1"/>
  <c r="M127"/>
  <c r="L136"/>
  <c r="P146"/>
  <c r="M70" i="2"/>
  <c r="M69" s="1"/>
  <c r="L69"/>
  <c r="N70"/>
  <c r="N69" s="1"/>
  <c r="L64"/>
  <c r="M64"/>
  <c r="O14"/>
  <c r="O25"/>
  <c r="O23"/>
  <c r="O79"/>
  <c r="O77"/>
  <c r="O73"/>
  <c r="O71"/>
  <c r="O67"/>
  <c r="O63"/>
  <c r="O61"/>
  <c r="O59"/>
  <c r="O55"/>
  <c r="O53"/>
  <c r="O49"/>
  <c r="O47"/>
  <c r="O43"/>
  <c r="O39"/>
  <c r="O37"/>
  <c r="O35"/>
  <c r="O31"/>
  <c r="O29"/>
  <c r="N65"/>
  <c r="N64" s="1"/>
  <c r="M58"/>
  <c r="M57" s="1"/>
  <c r="N58"/>
  <c r="N57" s="1"/>
  <c r="M52"/>
  <c r="M51" s="1"/>
  <c r="O19"/>
  <c r="O22"/>
  <c r="N52"/>
  <c r="N51" s="1"/>
  <c r="L58"/>
  <c r="L57" s="1"/>
  <c r="M46"/>
  <c r="M45" s="1"/>
  <c r="O11"/>
  <c r="L99"/>
  <c r="L119"/>
  <c r="O124"/>
  <c r="O132" s="1"/>
  <c r="H123"/>
  <c r="P123" s="1"/>
  <c r="L131"/>
  <c r="H133"/>
  <c r="P133" s="1"/>
  <c r="H135"/>
  <c r="P135" s="1"/>
  <c r="L147"/>
  <c r="H149"/>
  <c r="Q149" s="1"/>
  <c r="H151"/>
  <c r="Q151" s="1"/>
  <c r="N159"/>
  <c r="N167" s="1"/>
  <c r="L155"/>
  <c r="L157"/>
  <c r="M166"/>
  <c r="L172"/>
  <c r="O12"/>
  <c r="O13"/>
  <c r="O24"/>
  <c r="O21" s="1"/>
  <c r="O80"/>
  <c r="O78"/>
  <c r="O74"/>
  <c r="O72"/>
  <c r="O68"/>
  <c r="O66"/>
  <c r="O65" s="1"/>
  <c r="O62"/>
  <c r="O60"/>
  <c r="O56"/>
  <c r="O54"/>
  <c r="O52" s="1"/>
  <c r="O50"/>
  <c r="O48"/>
  <c r="O46" s="1"/>
  <c r="O44"/>
  <c r="O40" s="1"/>
  <c r="O42"/>
  <c r="O41" s="1"/>
  <c r="O38"/>
  <c r="O36"/>
  <c r="O32"/>
  <c r="O30"/>
  <c r="O28" s="1"/>
  <c r="O26"/>
  <c r="M41"/>
  <c r="M40" s="1"/>
  <c r="O15"/>
  <c r="N9"/>
  <c r="N46"/>
  <c r="N45" s="1"/>
  <c r="L52"/>
  <c r="L51" s="1"/>
  <c r="N41"/>
  <c r="N40" s="1"/>
  <c r="L46"/>
  <c r="L45" s="1"/>
  <c r="M34"/>
  <c r="M33" s="1"/>
  <c r="N34"/>
  <c r="N33" s="1"/>
  <c r="L41"/>
  <c r="L40" s="1"/>
  <c r="M28"/>
  <c r="M27" s="1"/>
  <c r="N28"/>
  <c r="N27" s="1"/>
  <c r="L34"/>
  <c r="L33" s="1"/>
  <c r="M9"/>
  <c r="N20"/>
  <c r="N16"/>
  <c r="M21"/>
  <c r="M20" s="1"/>
  <c r="L28"/>
  <c r="L27" s="1"/>
  <c r="H85"/>
  <c r="Q85" s="1"/>
  <c r="H87"/>
  <c r="Q87" s="1"/>
  <c r="H93"/>
  <c r="Q93" s="1"/>
  <c r="Q96" s="1"/>
  <c r="N176"/>
  <c r="L173"/>
  <c r="L175"/>
  <c r="M16"/>
  <c r="L21"/>
  <c r="L20" s="1"/>
  <c r="H105"/>
  <c r="Q105" s="1"/>
  <c r="H107"/>
  <c r="Q107" s="1"/>
  <c r="P115"/>
  <c r="P147"/>
  <c r="O159"/>
  <c r="O167" s="1"/>
  <c r="N171"/>
  <c r="N182" s="1"/>
  <c r="P171"/>
  <c r="L169"/>
  <c r="M181"/>
  <c r="L87"/>
  <c r="Q99"/>
  <c r="H101"/>
  <c r="P101" s="1"/>
  <c r="N116"/>
  <c r="L107"/>
  <c r="H117"/>
  <c r="Q117" s="1"/>
  <c r="H119"/>
  <c r="Q119" s="1"/>
  <c r="N124"/>
  <c r="N132" s="1"/>
  <c r="L123"/>
  <c r="H125"/>
  <c r="Q125" s="1"/>
  <c r="Q128" s="1"/>
  <c r="O148"/>
  <c r="L135"/>
  <c r="L139"/>
  <c r="H141"/>
  <c r="P141" s="1"/>
  <c r="P144" s="1"/>
  <c r="L151"/>
  <c r="H154"/>
  <c r="Q154" s="1"/>
  <c r="H155"/>
  <c r="Q155" s="1"/>
  <c r="H157"/>
  <c r="Q157" s="1"/>
  <c r="H160"/>
  <c r="Q160" s="1"/>
  <c r="Q163" s="1"/>
  <c r="L164"/>
  <c r="L166" s="1"/>
  <c r="P164"/>
  <c r="P166" s="1"/>
  <c r="L168"/>
  <c r="O171"/>
  <c r="Q171"/>
  <c r="M176"/>
  <c r="O176"/>
  <c r="L177"/>
  <c r="L178" s="1"/>
  <c r="L179"/>
  <c r="L181" s="1"/>
  <c r="P80"/>
  <c r="P78"/>
  <c r="P76" s="1"/>
  <c r="P74"/>
  <c r="P72"/>
  <c r="P70" s="1"/>
  <c r="P68"/>
  <c r="P66"/>
  <c r="P65" s="1"/>
  <c r="P62"/>
  <c r="P60"/>
  <c r="P56"/>
  <c r="P54"/>
  <c r="P52" s="1"/>
  <c r="P50"/>
  <c r="P48"/>
  <c r="P46" s="1"/>
  <c r="P44"/>
  <c r="P42"/>
  <c r="P41" s="1"/>
  <c r="P38"/>
  <c r="P36"/>
  <c r="P32"/>
  <c r="P30"/>
  <c r="P28" s="1"/>
  <c r="P26"/>
  <c r="P24"/>
  <c r="P22"/>
  <c r="P15"/>
  <c r="P9" s="1"/>
  <c r="P13"/>
  <c r="Q11"/>
  <c r="Q79"/>
  <c r="Q77"/>
  <c r="Q73"/>
  <c r="Q71"/>
  <c r="Q67"/>
  <c r="Q65" s="1"/>
  <c r="Q64" s="1"/>
  <c r="Q63"/>
  <c r="Q61"/>
  <c r="Q59"/>
  <c r="Q55"/>
  <c r="Q53"/>
  <c r="Q49"/>
  <c r="Q47"/>
  <c r="Q43"/>
  <c r="Q41" s="1"/>
  <c r="Q40" s="1"/>
  <c r="Q39"/>
  <c r="Q37"/>
  <c r="Q35"/>
  <c r="Q31"/>
  <c r="Q29"/>
  <c r="Q25"/>
  <c r="Q23"/>
  <c r="Q19"/>
  <c r="Q14"/>
  <c r="Q12"/>
  <c r="N100"/>
  <c r="O18"/>
  <c r="M88"/>
  <c r="L85"/>
  <c r="M96"/>
  <c r="L93"/>
  <c r="L96" s="1"/>
  <c r="M108"/>
  <c r="L105"/>
  <c r="P109"/>
  <c r="P112" s="1"/>
  <c r="Q109"/>
  <c r="Q112" s="1"/>
  <c r="M136"/>
  <c r="L133"/>
  <c r="L136" s="1"/>
  <c r="M140"/>
  <c r="L137"/>
  <c r="L140" s="1"/>
  <c r="M153"/>
  <c r="L149"/>
  <c r="L153" s="1"/>
  <c r="O100"/>
  <c r="M99"/>
  <c r="M115"/>
  <c r="P89"/>
  <c r="P92" s="1"/>
  <c r="Q89"/>
  <c r="Q92" s="1"/>
  <c r="L101"/>
  <c r="P103"/>
  <c r="Q103"/>
  <c r="M120"/>
  <c r="L117"/>
  <c r="L120" s="1"/>
  <c r="P121"/>
  <c r="P124" s="1"/>
  <c r="Q121"/>
  <c r="M128"/>
  <c r="L125"/>
  <c r="L128" s="1"/>
  <c r="M144"/>
  <c r="L141"/>
  <c r="L144" s="1"/>
  <c r="M159"/>
  <c r="L154"/>
  <c r="L159" s="1"/>
  <c r="M163"/>
  <c r="L160"/>
  <c r="L163" s="1"/>
  <c r="J188"/>
  <c r="J187" s="1"/>
  <c r="I187"/>
  <c r="L10"/>
  <c r="L16"/>
  <c r="M131"/>
  <c r="M147"/>
  <c r="P85"/>
  <c r="M89"/>
  <c r="P93"/>
  <c r="P96" s="1"/>
  <c r="P97"/>
  <c r="P99" s="1"/>
  <c r="Q101"/>
  <c r="Q104" s="1"/>
  <c r="M103"/>
  <c r="L103" s="1"/>
  <c r="P105"/>
  <c r="M109"/>
  <c r="Q113"/>
  <c r="Q115" s="1"/>
  <c r="P117"/>
  <c r="M121"/>
  <c r="Q123"/>
  <c r="P125"/>
  <c r="P127"/>
  <c r="P129"/>
  <c r="P131" s="1"/>
  <c r="Q135"/>
  <c r="H137"/>
  <c r="H139"/>
  <c r="Q141"/>
  <c r="Q143"/>
  <c r="Q145"/>
  <c r="Q147" s="1"/>
  <c r="P149"/>
  <c r="Q152"/>
  <c r="P154"/>
  <c r="P155"/>
  <c r="P157"/>
  <c r="P160"/>
  <c r="P162"/>
  <c r="M171"/>
  <c r="P174"/>
  <c r="P176" s="1"/>
  <c r="Q175"/>
  <c r="Q176" s="1"/>
  <c r="Q182" s="1"/>
  <c r="M178"/>
  <c r="P179"/>
  <c r="P181" s="1"/>
  <c r="L113"/>
  <c r="L115" s="1"/>
  <c r="H187"/>
  <c r="M132" i="1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L135" s="1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P148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Q42" i="3" l="1"/>
  <c r="N199"/>
  <c r="N228"/>
  <c r="O230"/>
  <c r="N230" s="1"/>
  <c r="N236" s="1"/>
  <c r="P236"/>
  <c r="O163"/>
  <c r="O181"/>
  <c r="O174"/>
  <c r="R12"/>
  <c r="P174"/>
  <c r="N213"/>
  <c r="P181"/>
  <c r="Q181"/>
  <c r="Q80"/>
  <c r="S236"/>
  <c r="N216"/>
  <c r="Q217"/>
  <c r="P217"/>
  <c r="R174"/>
  <c r="O236"/>
  <c r="N173"/>
  <c r="R20"/>
  <c r="R19" s="1"/>
  <c r="R18" s="1"/>
  <c r="S186"/>
  <c r="N175"/>
  <c r="P190"/>
  <c r="N124"/>
  <c r="N168"/>
  <c r="N174" s="1"/>
  <c r="Q157"/>
  <c r="Q167" s="1"/>
  <c r="S99"/>
  <c r="N182"/>
  <c r="N186" s="1"/>
  <c r="N180"/>
  <c r="N181" s="1"/>
  <c r="N131"/>
  <c r="N151"/>
  <c r="S151"/>
  <c r="N114"/>
  <c r="S114"/>
  <c r="S123" s="1"/>
  <c r="N112"/>
  <c r="O157"/>
  <c r="O167" s="1"/>
  <c r="N158"/>
  <c r="N163" s="1"/>
  <c r="S168"/>
  <c r="O123"/>
  <c r="P167"/>
  <c r="N156"/>
  <c r="N143"/>
  <c r="N150" s="1"/>
  <c r="Q190"/>
  <c r="P123"/>
  <c r="P142" s="1"/>
  <c r="Q132"/>
  <c r="N122"/>
  <c r="O98"/>
  <c r="N133"/>
  <c r="N138" s="1"/>
  <c r="N106"/>
  <c r="N109" s="1"/>
  <c r="Q123"/>
  <c r="Q12"/>
  <c r="Q61"/>
  <c r="Q29"/>
  <c r="R48"/>
  <c r="L151" i="1"/>
  <c r="O132" i="3"/>
  <c r="P151" i="2"/>
  <c r="Q133"/>
  <c r="Q76"/>
  <c r="Q75" s="1"/>
  <c r="P75"/>
  <c r="S156" i="3"/>
  <c r="R80"/>
  <c r="O138"/>
  <c r="P118" i="1"/>
  <c r="O131"/>
  <c r="Q153" i="2"/>
  <c r="P87"/>
  <c r="L108"/>
  <c r="L88"/>
  <c r="O27"/>
  <c r="R236" i="3"/>
  <c r="Q48"/>
  <c r="Q18"/>
  <c r="O109"/>
  <c r="Q98"/>
  <c r="Q35"/>
  <c r="R35"/>
  <c r="Q22"/>
  <c r="S173"/>
  <c r="R61"/>
  <c r="S48"/>
  <c r="R29"/>
  <c r="R22"/>
  <c r="R157"/>
  <c r="S208"/>
  <c r="S213" s="1"/>
  <c r="R208"/>
  <c r="R213" s="1"/>
  <c r="S201"/>
  <c r="S197"/>
  <c r="R197"/>
  <c r="S180"/>
  <c r="R180"/>
  <c r="S158"/>
  <c r="S163" s="1"/>
  <c r="R158"/>
  <c r="R163" s="1"/>
  <c r="S143"/>
  <c r="R143"/>
  <c r="S131"/>
  <c r="R131"/>
  <c r="S106"/>
  <c r="S109" s="1"/>
  <c r="R109"/>
  <c r="S97"/>
  <c r="R97"/>
  <c r="S205"/>
  <c r="R205"/>
  <c r="S200"/>
  <c r="R200"/>
  <c r="S191"/>
  <c r="R191"/>
  <c r="S175"/>
  <c r="S181" s="1"/>
  <c r="R175"/>
  <c r="R181" s="1"/>
  <c r="S149"/>
  <c r="R149"/>
  <c r="S124"/>
  <c r="R124"/>
  <c r="S90"/>
  <c r="P69" i="2"/>
  <c r="O76"/>
  <c r="O75" s="1"/>
  <c r="L119" i="1"/>
  <c r="I202"/>
  <c r="Q139"/>
  <c r="P51" i="2"/>
  <c r="P58"/>
  <c r="P57" s="1"/>
  <c r="P64"/>
  <c r="O34"/>
  <c r="O33" s="1"/>
  <c r="O58"/>
  <c r="O57" s="1"/>
  <c r="O64"/>
  <c r="O70"/>
  <c r="O69" s="1"/>
  <c r="Q70"/>
  <c r="Q69" s="1"/>
  <c r="P136"/>
  <c r="O45"/>
  <c r="O51"/>
  <c r="O10"/>
  <c r="O9" s="1"/>
  <c r="Q52"/>
  <c r="Q51" s="1"/>
  <c r="Q58"/>
  <c r="Q57" s="1"/>
  <c r="O20"/>
  <c r="P27"/>
  <c r="P34"/>
  <c r="P33" s="1"/>
  <c r="P40"/>
  <c r="P45"/>
  <c r="Q46"/>
  <c r="Q45" s="1"/>
  <c r="Q34"/>
  <c r="Q33" s="1"/>
  <c r="P119"/>
  <c r="P120" s="1"/>
  <c r="P107"/>
  <c r="P108" s="1"/>
  <c r="P104"/>
  <c r="Q21"/>
  <c r="Q20" s="1"/>
  <c r="Q28"/>
  <c r="Q27" s="1"/>
  <c r="P21"/>
  <c r="P20" s="1"/>
  <c r="Q108"/>
  <c r="Q116" s="1"/>
  <c r="Q88"/>
  <c r="Q100" s="1"/>
  <c r="O17"/>
  <c r="O16" s="1"/>
  <c r="P18"/>
  <c r="P163"/>
  <c r="P153"/>
  <c r="P128"/>
  <c r="Q10"/>
  <c r="Q9" s="1"/>
  <c r="P182"/>
  <c r="Q124"/>
  <c r="L104"/>
  <c r="L176"/>
  <c r="O182"/>
  <c r="Q159"/>
  <c r="Q167" s="1"/>
  <c r="Q120"/>
  <c r="M182"/>
  <c r="L171"/>
  <c r="Q139"/>
  <c r="P139"/>
  <c r="M124"/>
  <c r="M132" s="1"/>
  <c r="L132" s="1"/>
  <c r="L121"/>
  <c r="L124" s="1"/>
  <c r="M112"/>
  <c r="L109"/>
  <c r="L112" s="1"/>
  <c r="Q137"/>
  <c r="Q140" s="1"/>
  <c r="P137"/>
  <c r="P140" s="1"/>
  <c r="P148" s="1"/>
  <c r="M92"/>
  <c r="M100" s="1"/>
  <c r="L100" s="1"/>
  <c r="L89"/>
  <c r="L92" s="1"/>
  <c r="L9"/>
  <c r="L167"/>
  <c r="P159"/>
  <c r="Q144"/>
  <c r="Q136"/>
  <c r="P88"/>
  <c r="P100" s="1"/>
  <c r="M104"/>
  <c r="M167"/>
  <c r="M148"/>
  <c r="L148" s="1"/>
  <c r="P156" i="1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M147" s="1"/>
  <c r="L147" s="1"/>
  <c r="L140"/>
  <c r="L143" s="1"/>
  <c r="Q197"/>
  <c r="P178"/>
  <c r="P174"/>
  <c r="P168"/>
  <c r="P155"/>
  <c r="S199" i="3" l="1"/>
  <c r="S20"/>
  <c r="S19" s="1"/>
  <c r="S18" s="1"/>
  <c r="S174"/>
  <c r="O142"/>
  <c r="N132"/>
  <c r="N167"/>
  <c r="N157"/>
  <c r="N123"/>
  <c r="S157"/>
  <c r="Q142"/>
  <c r="L131" i="1"/>
  <c r="S98" i="3"/>
  <c r="S132"/>
  <c r="S142" s="1"/>
  <c r="R150"/>
  <c r="R167" s="1"/>
  <c r="R98"/>
  <c r="R132"/>
  <c r="R142" s="1"/>
  <c r="R199"/>
  <c r="S150"/>
  <c r="P116" i="2"/>
  <c r="P167"/>
  <c r="P132"/>
  <c r="L182"/>
  <c r="M116"/>
  <c r="L116" s="1"/>
  <c r="Q18"/>
  <c r="Q17" s="1"/>
  <c r="Q16" s="1"/>
  <c r="P17"/>
  <c r="P16" s="1"/>
  <c r="Q132"/>
  <c r="Q148"/>
  <c r="Q147" i="1"/>
  <c r="P163"/>
  <c r="P182"/>
  <c r="L182"/>
  <c r="Q182"/>
  <c r="M182"/>
  <c r="N142" i="3" l="1"/>
  <c r="S167"/>
  <c r="L26" i="1"/>
  <c r="M41"/>
  <c r="M40"/>
  <c r="M39"/>
  <c r="M38" s="1"/>
  <c r="M33"/>
  <c r="M32"/>
  <c r="M26"/>
  <c r="M25"/>
  <c r="M24"/>
  <c r="M23" s="1"/>
  <c r="M18"/>
  <c r="N92"/>
  <c r="N91"/>
  <c r="M92"/>
  <c r="M91"/>
  <c r="L92"/>
  <c r="L91"/>
  <c r="N85"/>
  <c r="N86"/>
  <c r="N87"/>
  <c r="N84"/>
  <c r="N83" s="1"/>
  <c r="M85"/>
  <c r="M84"/>
  <c r="L85"/>
  <c r="L84"/>
  <c r="N78"/>
  <c r="N77"/>
  <c r="M78"/>
  <c r="M77"/>
  <c r="L78"/>
  <c r="L79"/>
  <c r="L80"/>
  <c r="L81"/>
  <c r="L77"/>
  <c r="N76"/>
  <c r="N70"/>
  <c r="N71"/>
  <c r="N69"/>
  <c r="M70"/>
  <c r="M68" s="1"/>
  <c r="M71"/>
  <c r="M69"/>
  <c r="L70"/>
  <c r="L71"/>
  <c r="L69"/>
  <c r="N62"/>
  <c r="N63"/>
  <c r="N61"/>
  <c r="M62"/>
  <c r="M63"/>
  <c r="M61"/>
  <c r="L62"/>
  <c r="L63"/>
  <c r="L61"/>
  <c r="N55"/>
  <c r="N54"/>
  <c r="N53" s="1"/>
  <c r="M55"/>
  <c r="M54"/>
  <c r="L55"/>
  <c r="L54"/>
  <c r="N48"/>
  <c r="M48"/>
  <c r="L48"/>
  <c r="N47"/>
  <c r="N46" s="1"/>
  <c r="M47"/>
  <c r="L47"/>
  <c r="N44"/>
  <c r="N40"/>
  <c r="N41"/>
  <c r="N39"/>
  <c r="L40"/>
  <c r="L41"/>
  <c r="L39"/>
  <c r="N36"/>
  <c r="N33"/>
  <c r="N32"/>
  <c r="L32"/>
  <c r="N25"/>
  <c r="N26"/>
  <c r="L25"/>
  <c r="L24"/>
  <c r="M31" l="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O73" s="1"/>
  <c r="P73" s="1"/>
  <c r="Q73" s="1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29" l="1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J188" i="3"/>
  <c r="R188" s="1"/>
  <c r="R189" s="1"/>
  <c r="R190" s="1"/>
  <c r="O188"/>
  <c r="O189" s="1"/>
  <c r="O190" s="1"/>
  <c r="N190" l="1"/>
  <c r="N188"/>
  <c r="N189" s="1"/>
  <c r="S188"/>
  <c r="S189" s="1"/>
  <c r="S190" s="1"/>
  <c r="O206"/>
  <c r="O207" s="1"/>
  <c r="O217" s="1"/>
  <c r="N206"/>
  <c r="J206"/>
  <c r="R206" s="1"/>
  <c r="R207" s="1"/>
  <c r="R217" s="1"/>
  <c r="N207" l="1"/>
  <c r="N217" s="1"/>
  <c r="S206"/>
  <c r="S207" s="1"/>
  <c r="S217" s="1"/>
</calcChain>
</file>

<file path=xl/sharedStrings.xml><?xml version="1.0" encoding="utf-8"?>
<sst xmlns="http://schemas.openxmlformats.org/spreadsheetml/2006/main" count="2883" uniqueCount="209">
  <si>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</si>
  <si>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</si>
  <si>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</si>
  <si>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</si>
  <si>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</si>
  <si>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</si>
  <si>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</si>
  <si>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</si>
  <si>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</si>
  <si>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</si>
  <si>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</si>
  <si>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</si>
  <si>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</si>
  <si>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</si>
  <si>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</si>
  <si>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</si>
  <si>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</si>
  <si>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</si>
  <si>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</si>
  <si>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</si>
  <si>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</si>
  <si>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</si>
  <si>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</si>
  <si>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</si>
  <si>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</si>
  <si>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</si>
  <si>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</si>
  <si>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</si>
  <si>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</si>
  <si>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</si>
  <si>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</si>
  <si>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</si>
  <si>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</si>
  <si>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</si>
  <si>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</si>
  <si>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</si>
  <si>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</si>
  <si>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</si>
  <si>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</si>
  <si>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</si>
  <si>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</si>
  <si>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</si>
  <si>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</si>
  <si>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</si>
  <si>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</si>
  <si>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</si>
  <si>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</si>
  <si>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</si>
  <si>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</si>
  <si>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</si>
  <si>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</si>
  <si>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</si>
  <si>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</si>
  <si>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</si>
  <si>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</si>
  <si>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</si>
  <si>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</si>
  <si>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</si>
  <si>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</si>
  <si>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</si>
  <si>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</si>
  <si>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</si>
  <si>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</si>
  <si>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</si>
  <si>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</si>
  <si>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</si>
  <si>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</si>
  <si>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</si>
  <si>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</si>
  <si>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</si>
  <si>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</si>
  <si>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</si>
  <si>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</si>
  <si>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</si>
  <si>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</si>
  <si>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</si>
  <si>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</si>
  <si>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</si>
  <si>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</si>
  <si>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</si>
  <si>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</si>
  <si>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</si>
  <si>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</si>
  <si>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</si>
  <si>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</si>
  <si>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</si>
  <si>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</si>
  <si>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</si>
  <si>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</si>
  <si>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</si>
  <si>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</si>
  <si>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</si>
  <si>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</si>
  <si>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</si>
  <si>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</si>
  <si>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</si>
  <si>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</si>
  <si>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</si>
  <si>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</si>
  <si>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</si>
  <si>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</si>
  <si>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</si>
  <si>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</si>
  <si>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</si>
  <si>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</si>
  <si>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</si>
  <si>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</si>
  <si>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</si>
  <si>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</si>
  <si>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</si>
  <si>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</si>
  <si>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</si>
  <si>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</si>
  <si>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</si>
  <si>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</si>
  <si>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</si>
  <si>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</si>
  <si>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</si>
  <si>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</si>
  <si>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</si>
  <si>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</si>
  <si>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</si>
  <si>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</si>
  <si>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</si>
  <si>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</si>
  <si>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</si>
  <si>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</si>
  <si>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</si>
  <si>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</si>
  <si>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</si>
  <si>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</si>
  <si>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</si>
  <si>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</si>
  <si>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</si>
  <si>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</si>
  <si>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</si>
  <si>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</si>
  <si>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</si>
  <si>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</si>
  <si>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</si>
  <si>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</si>
  <si>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</si>
  <si>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</si>
  <si>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</si>
  <si>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</si>
  <si>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</si>
  <si>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</si>
  <si>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</si>
  <si>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</si>
  <si>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</si>
  <si>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</si>
  <si>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</si>
  <si>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</si>
  <si>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</si>
  <si>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</si>
  <si>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</si>
  <si>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</si>
  <si>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</si>
  <si>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</si>
  <si>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</si>
  <si>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</si>
  <si>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</si>
  <si>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</si>
  <si>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11 762,02</t>
  </si>
  <si>
    <t>27 113,69</t>
  </si>
  <si>
    <t>3\35</t>
  </si>
  <si>
    <t>3\37</t>
  </si>
  <si>
    <t>Приложение 1</t>
  </si>
  <si>
    <t>к Приказу от 18.03.2016_№ 60</t>
  </si>
  <si>
    <t>к Приказу от 30.09.2016 № 210</t>
  </si>
  <si>
    <t>январь-август</t>
  </si>
  <si>
    <t>сентябрь-декабрь</t>
  </si>
  <si>
    <t>среднегодовое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</si>
  <si>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</si>
  <si>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</si>
  <si>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</si>
  <si>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</si>
  <si>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</si>
  <si>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t=9</t>
  </si>
  <si>
    <t>t=12</t>
  </si>
  <si>
    <t xml:space="preserve">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</si>
  <si>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 xml:space="preserve">t=4 </t>
  </si>
  <si>
    <t>t=5</t>
  </si>
  <si>
    <t>t=10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</si>
  <si>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</si>
  <si>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</si>
  <si>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</si>
  <si>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</si>
  <si>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2016 год c 01.09.2016</t>
  </si>
  <si>
    <t>2016 год срзнач.</t>
  </si>
  <si>
    <t>2\45</t>
  </si>
  <si>
    <t>3\33</t>
  </si>
  <si>
    <t>3\34</t>
  </si>
  <si>
    <t>4\58</t>
  </si>
  <si>
    <t>4\60</t>
  </si>
  <si>
    <t>6\104</t>
  </si>
  <si>
    <t>6\106</t>
  </si>
  <si>
    <t>4\57</t>
  </si>
  <si>
    <t>3\59</t>
  </si>
  <si>
    <t>7\122</t>
  </si>
  <si>
    <t>7\116</t>
  </si>
  <si>
    <t>1\12</t>
  </si>
  <si>
    <t>1\9</t>
  </si>
  <si>
    <t>Обучение детей, находящихся на длительном лечении в медицинских учреждениях (индивидуальное, групповое) (k = 11) село</t>
  </si>
  <si>
    <t>5\76</t>
  </si>
  <si>
    <t>Студеникина Татьяна Николаевна (39144)3-16-33</t>
  </si>
  <si>
    <t>Приложение № 2</t>
  </si>
  <si>
    <t>к Приказу от 30.12.2015 № 317</t>
  </si>
  <si>
    <t>Приложение № 3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</si>
</sst>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234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 readingOrder="1"/>
    </xf>
    <xf numFmtId="0" fontId="7" fillId="3" borderId="4" xfId="2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left" wrapText="1"/>
    </xf>
    <xf numFmtId="4" fontId="2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 indent="2"/>
    </xf>
    <xf numFmtId="0" fontId="16" fillId="0" borderId="0" xfId="0" applyFont="1"/>
    <xf numFmtId="4" fontId="8" fillId="3" borderId="4" xfId="0" applyNumberFormat="1" applyFont="1" applyFill="1" applyBorder="1" applyAlignment="1">
      <alignment horizontal="center" wrapText="1"/>
    </xf>
    <xf numFmtId="4" fontId="4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/>
    <xf numFmtId="4" fontId="0" fillId="3" borderId="4" xfId="0" applyNumberFormat="1" applyFont="1" applyFill="1" applyBorder="1" applyAlignment="1">
      <alignment horizontal="right"/>
    </xf>
    <xf numFmtId="4" fontId="1" fillId="3" borderId="4" xfId="0" applyNumberFormat="1" applyFont="1" applyFill="1" applyBorder="1" applyAlignment="1">
      <alignment horizontal="left"/>
    </xf>
    <xf numFmtId="4" fontId="4" fillId="3" borderId="4" xfId="0" applyNumberFormat="1" applyFont="1" applyFill="1" applyBorder="1" applyAlignment="1">
      <alignment horizontal="center" wrapText="1"/>
    </xf>
    <xf numFmtId="4" fontId="9" fillId="3" borderId="4" xfId="0" applyNumberFormat="1" applyFont="1" applyFill="1" applyBorder="1" applyAlignment="1">
      <alignment horizontal="right" wrapText="1"/>
    </xf>
    <xf numFmtId="4" fontId="0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4" fontId="7" fillId="3" borderId="4" xfId="0" applyNumberFormat="1" applyFont="1" applyFill="1" applyBorder="1" applyAlignment="1">
      <alignment horizontal="right"/>
    </xf>
    <xf numFmtId="4" fontId="11" fillId="3" borderId="4" xfId="0" applyNumberFormat="1" applyFont="1" applyFill="1" applyBorder="1" applyAlignment="1">
      <alignment horizontal="right"/>
    </xf>
    <xf numFmtId="3" fontId="1" fillId="3" borderId="4" xfId="0" applyNumberFormat="1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left"/>
    </xf>
    <xf numFmtId="3" fontId="2" fillId="3" borderId="4" xfId="0" applyNumberFormat="1" applyFont="1" applyFill="1" applyBorder="1" applyAlignment="1">
      <alignment horizontal="left"/>
    </xf>
    <xf numFmtId="3" fontId="4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wrapText="1"/>
    </xf>
    <xf numFmtId="3" fontId="4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11" fillId="3" borderId="4" xfId="0" applyNumberFormat="1" applyFont="1" applyFill="1" applyBorder="1" applyAlignment="1"/>
    <xf numFmtId="0" fontId="1" fillId="3" borderId="4" xfId="0" applyFont="1" applyFill="1" applyBorder="1" applyAlignment="1">
      <alignment horizontal="right"/>
    </xf>
    <xf numFmtId="0" fontId="1" fillId="4" borderId="5" xfId="0" applyFont="1" applyFill="1" applyBorder="1" applyAlignment="1"/>
    <xf numFmtId="0" fontId="1" fillId="4" borderId="4" xfId="0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right" vertical="top"/>
    </xf>
    <xf numFmtId="4" fontId="1" fillId="4" borderId="4" xfId="0" applyNumberFormat="1" applyFont="1" applyFill="1" applyBorder="1" applyAlignment="1">
      <alignment horizontal="right" vertical="top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0" fontId="1" fillId="4" borderId="4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center" vertical="center" wrapText="1"/>
    </xf>
    <xf numFmtId="3" fontId="4" fillId="5" borderId="4" xfId="0" applyNumberFormat="1" applyFont="1" applyFill="1" applyBorder="1" applyAlignment="1">
      <alignment horizontal="right" wrapText="1"/>
    </xf>
    <xf numFmtId="4" fontId="8" fillId="5" borderId="4" xfId="0" applyNumberFormat="1" applyFont="1" applyFill="1" applyBorder="1" applyAlignment="1">
      <alignment horizontal="center" wrapText="1"/>
    </xf>
    <xf numFmtId="4" fontId="4" fillId="5" borderId="4" xfId="0" applyNumberFormat="1" applyFont="1" applyFill="1" applyBorder="1" applyAlignment="1">
      <alignment horizontal="right" wrapText="1"/>
    </xf>
    <xf numFmtId="4" fontId="0" fillId="5" borderId="4" xfId="0" applyNumberFormat="1" applyFont="1" applyFill="1" applyBorder="1" applyAlignment="1">
      <alignment horizontal="right"/>
    </xf>
    <xf numFmtId="3" fontId="8" fillId="5" borderId="4" xfId="0" applyNumberFormat="1" applyFont="1" applyFill="1" applyBorder="1" applyAlignment="1">
      <alignment horizontal="center" wrapText="1"/>
    </xf>
    <xf numFmtId="0" fontId="7" fillId="5" borderId="4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3" fontId="9" fillId="5" borderId="4" xfId="0" applyNumberFormat="1" applyFont="1" applyFill="1" applyBorder="1" applyAlignment="1">
      <alignment horizontal="right" wrapText="1"/>
    </xf>
    <xf numFmtId="4" fontId="0" fillId="5" borderId="4" xfId="0" applyNumberFormat="1" applyFont="1" applyFill="1" applyBorder="1" applyAlignment="1">
      <alignment horizontal="left"/>
    </xf>
    <xf numFmtId="4" fontId="9" fillId="5" borderId="4" xfId="0" applyNumberFormat="1" applyFont="1" applyFill="1" applyBorder="1" applyAlignment="1">
      <alignment horizontal="right" wrapText="1"/>
    </xf>
    <xf numFmtId="0" fontId="4" fillId="5" borderId="4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left" vertical="center" wrapText="1" readingOrder="1"/>
    </xf>
    <xf numFmtId="3" fontId="7" fillId="5" borderId="4" xfId="0" applyNumberFormat="1" applyFont="1" applyFill="1" applyBorder="1" applyAlignment="1"/>
    <xf numFmtId="4" fontId="7" fillId="5" borderId="4" xfId="0" applyNumberFormat="1" applyFont="1" applyFill="1" applyBorder="1" applyAlignment="1">
      <alignment horizontal="right"/>
    </xf>
    <xf numFmtId="3" fontId="0" fillId="5" borderId="4" xfId="0" applyNumberFormat="1" applyFont="1" applyFill="1" applyBorder="1" applyAlignment="1">
      <alignment horizontal="left"/>
    </xf>
    <xf numFmtId="4" fontId="7" fillId="5" borderId="4" xfId="0" applyNumberFormat="1" applyFont="1" applyFill="1" applyBorder="1" applyAlignment="1"/>
    <xf numFmtId="4" fontId="0" fillId="5" borderId="4" xfId="0" applyNumberFormat="1" applyFill="1" applyBorder="1" applyAlignment="1">
      <alignment horizontal="right"/>
    </xf>
    <xf numFmtId="0" fontId="11" fillId="5" borderId="4" xfId="0" applyFont="1" applyFill="1" applyBorder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3" fontId="8" fillId="0" borderId="4" xfId="0" applyNumberFormat="1" applyFont="1" applyFill="1" applyBorder="1" applyAlignment="1">
      <alignment horizontal="right" wrapText="1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right" wrapText="1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2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0" fontId="1" fillId="0" borderId="4" xfId="0" applyFont="1" applyFill="1" applyBorder="1" applyAlignment="1">
      <alignment horizontal="right" vertical="top"/>
    </xf>
    <xf numFmtId="4" fontId="1" fillId="0" borderId="4" xfId="0" applyNumberFormat="1" applyFont="1" applyFill="1" applyBorder="1" applyAlignment="1">
      <alignment horizontal="right" vertical="top"/>
    </xf>
    <xf numFmtId="0" fontId="1" fillId="0" borderId="4" xfId="0" applyFont="1" applyFill="1" applyBorder="1" applyAlignment="1">
      <alignment horizontal="right"/>
    </xf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164" fontId="7" fillId="0" borderId="4" xfId="0" applyNumberFormat="1" applyFont="1" applyFill="1" applyBorder="1" applyAlignment="1"/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4" fontId="4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1" fillId="0" borderId="4" xfId="1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2.75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>
      <c r="A1" s="1"/>
      <c r="O1" s="3" t="s">
        <v>2</v>
      </c>
    </row>
    <row r="2" spans="1:19" ht="15">
      <c r="O2" s="3" t="s">
        <v>153</v>
      </c>
    </row>
    <row r="3" spans="1:19" ht="18.75">
      <c r="A3" s="203" t="s">
        <v>1</v>
      </c>
      <c r="B3" s="203"/>
      <c r="C3" s="204"/>
      <c r="D3" s="203"/>
      <c r="E3" s="203"/>
      <c r="F3" s="203"/>
      <c r="G3" s="203"/>
      <c r="H3" s="203"/>
      <c r="I3" s="204"/>
      <c r="J3" s="203"/>
      <c r="K3" s="203"/>
      <c r="L3" s="203"/>
      <c r="M3" s="203"/>
      <c r="N3" s="204"/>
      <c r="O3" s="203"/>
      <c r="P3" s="203"/>
      <c r="Q3" s="203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>
      <c r="A6" s="38" t="s">
        <v>3</v>
      </c>
      <c r="B6" s="38" t="s">
        <v>81</v>
      </c>
      <c r="C6" s="38" t="s">
        <v>152</v>
      </c>
      <c r="D6" s="38" t="s">
        <v>4</v>
      </c>
      <c r="E6" s="197" t="s">
        <v>5</v>
      </c>
      <c r="F6" s="197"/>
      <c r="G6" s="197"/>
      <c r="H6" s="198" t="s">
        <v>6</v>
      </c>
      <c r="I6" s="198"/>
      <c r="J6" s="198"/>
      <c r="K6" s="198"/>
      <c r="L6" s="198" t="s">
        <v>7</v>
      </c>
      <c r="M6" s="198"/>
      <c r="N6" s="198"/>
      <c r="O6" s="198"/>
      <c r="P6" s="198"/>
      <c r="Q6" s="198"/>
    </row>
    <row r="7" spans="1:19" ht="60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202" t="s">
        <v>8</v>
      </c>
      <c r="M7" s="202"/>
      <c r="N7" s="202"/>
      <c r="O7" s="202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75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5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5.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10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5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75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5.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10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10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5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75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5.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10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5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60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5.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10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10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5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75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5.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10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5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60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5.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10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5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75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5.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10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7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5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75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5.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10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7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5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75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5.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10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5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75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5.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10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5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75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5.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10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5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75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>
      <c r="A96" s="206" t="s">
        <v>154</v>
      </c>
      <c r="B96" s="206"/>
      <c r="C96" s="206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>
      <c r="A97" s="205" t="s">
        <v>3</v>
      </c>
      <c r="B97" s="205" t="s">
        <v>86</v>
      </c>
      <c r="C97" s="7" t="s">
        <v>87</v>
      </c>
      <c r="D97" s="205" t="s">
        <v>4</v>
      </c>
      <c r="E97" s="205" t="s">
        <v>5</v>
      </c>
      <c r="F97" s="205"/>
      <c r="G97" s="205"/>
      <c r="H97" s="205" t="s">
        <v>6</v>
      </c>
      <c r="I97" s="205"/>
      <c r="J97" s="205"/>
      <c r="K97" s="205"/>
      <c r="L97" s="205" t="s">
        <v>7</v>
      </c>
      <c r="M97" s="205"/>
      <c r="N97" s="205"/>
      <c r="O97" s="205"/>
      <c r="P97" s="205"/>
      <c r="Q97" s="205"/>
    </row>
    <row r="98" spans="1:17" ht="120">
      <c r="A98" s="205"/>
      <c r="B98" s="205"/>
      <c r="C98" s="7"/>
      <c r="D98" s="205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5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>
      <c r="A100" s="201" t="s">
        <v>98</v>
      </c>
      <c r="B100" s="199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>
      <c r="A101" s="201"/>
      <c r="B101" s="199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20">
      <c r="A102" s="201"/>
      <c r="B102" s="199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5">
      <c r="A103" s="201"/>
      <c r="B103" s="199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90">
      <c r="A104" s="201"/>
      <c r="B104" s="199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120">
      <c r="A105" s="201"/>
      <c r="B105" s="199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20">
      <c r="A106" s="201"/>
      <c r="B106" s="199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5">
      <c r="A107" s="201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90">
      <c r="A108" s="201"/>
      <c r="B108" s="199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120">
      <c r="A109" s="201"/>
      <c r="B109" s="199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20">
      <c r="A110" s="201"/>
      <c r="B110" s="199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5">
      <c r="A111" s="201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>
      <c r="A112" s="201"/>
      <c r="B112" s="200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>
      <c r="A113" s="201"/>
      <c r="B113" s="200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5">
      <c r="A114" s="201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>
      <c r="A115" s="201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90">
      <c r="A116" s="201" t="s">
        <v>113</v>
      </c>
      <c r="B116" s="199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>
      <c r="A117" s="201"/>
      <c r="B117" s="199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20">
      <c r="A118" s="201"/>
      <c r="B118" s="199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5">
      <c r="A119" s="201"/>
      <c r="B119" s="199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90">
      <c r="A120" s="201"/>
      <c r="B120" s="199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>
      <c r="A121" s="201"/>
      <c r="B121" s="199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20">
      <c r="A122" s="201"/>
      <c r="B122" s="199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5">
      <c r="A123" s="201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90">
      <c r="A124" s="201"/>
      <c r="B124" s="199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>
      <c r="A125" s="201"/>
      <c r="B125" s="199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20">
      <c r="A126" s="201"/>
      <c r="B126" s="199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5">
      <c r="A127" s="201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>
      <c r="A128" s="201"/>
      <c r="B128" s="200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>
      <c r="A129" s="201"/>
      <c r="B129" s="200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5">
      <c r="A130" s="201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4.25">
      <c r="A131" s="201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90">
      <c r="A132" s="201" t="s">
        <v>114</v>
      </c>
      <c r="B132" s="199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120">
      <c r="A133" s="201"/>
      <c r="B133" s="199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20">
      <c r="A134" s="201"/>
      <c r="B134" s="199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5">
      <c r="A135" s="201"/>
      <c r="B135" s="199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90">
      <c r="A136" s="201"/>
      <c r="B136" s="199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>
      <c r="A137" s="201"/>
      <c r="B137" s="199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20">
      <c r="A138" s="201"/>
      <c r="B138" s="199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5">
      <c r="A139" s="201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90">
      <c r="A140" s="201"/>
      <c r="B140" s="199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120">
      <c r="A141" s="201"/>
      <c r="B141" s="199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20">
      <c r="A142" s="201"/>
      <c r="B142" s="199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5">
      <c r="A143" s="201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>
      <c r="A144" s="201"/>
      <c r="B144" s="200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>
      <c r="A145" s="201"/>
      <c r="B145" s="200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5">
      <c r="A146" s="201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4.25">
      <c r="A147" s="201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90">
      <c r="A148" s="201" t="s">
        <v>115</v>
      </c>
      <c r="B148" s="199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>
      <c r="A149" s="201"/>
      <c r="B149" s="199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20">
      <c r="A150" s="201"/>
      <c r="B150" s="199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5">
      <c r="A151" s="201"/>
      <c r="B151" s="199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90">
      <c r="A152" s="201"/>
      <c r="B152" s="199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>
      <c r="A153" s="201"/>
      <c r="B153" s="199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20">
      <c r="A154" s="201"/>
      <c r="B154" s="199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5">
      <c r="A155" s="201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90">
      <c r="A156" s="201"/>
      <c r="B156" s="199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120">
      <c r="A157" s="201"/>
      <c r="B157" s="199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20">
      <c r="A158" s="201"/>
      <c r="B158" s="199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5">
      <c r="A159" s="201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>
      <c r="A160" s="201"/>
      <c r="B160" s="200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>
      <c r="A161" s="201"/>
      <c r="B161" s="200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5">
      <c r="A162" s="201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4.25">
      <c r="A163" s="201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90">
      <c r="A164" s="201" t="s">
        <v>116</v>
      </c>
      <c r="B164" s="199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>
      <c r="A165" s="201"/>
      <c r="B165" s="199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20">
      <c r="A166" s="201"/>
      <c r="B166" s="199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105">
      <c r="A167" s="201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5">
      <c r="A168" s="201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90">
      <c r="A169" s="201"/>
      <c r="B169" s="199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>
      <c r="A170" s="201"/>
      <c r="B170" s="199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>
      <c r="A171" s="201"/>
      <c r="B171" s="199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20">
      <c r="A172" s="201"/>
      <c r="B172" s="199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105">
      <c r="A173" s="201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5">
      <c r="A174" s="201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90">
      <c r="A175" s="201"/>
      <c r="B175" s="199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>
      <c r="A176" s="201"/>
      <c r="B176" s="199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20">
      <c r="A177" s="201"/>
      <c r="B177" s="199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5">
      <c r="A178" s="201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>
      <c r="A179" s="201"/>
      <c r="B179" s="200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>
      <c r="A180" s="201"/>
      <c r="B180" s="200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5">
      <c r="A181" s="201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4.25">
      <c r="A182" s="201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>
      <c r="A183" s="201" t="s">
        <v>119</v>
      </c>
      <c r="B183" s="199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>
      <c r="A184" s="201"/>
      <c r="B184" s="199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>
      <c r="A185" s="201"/>
      <c r="B185" s="199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5">
      <c r="A186" s="201"/>
      <c r="B186" s="199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201"/>
      <c r="B187" s="199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201"/>
      <c r="B188" s="199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201"/>
      <c r="B189" s="199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20">
      <c r="A190" s="201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5">
      <c r="A191" s="201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201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>
      <c r="A193" s="201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201"/>
      <c r="B194" s="200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>
      <c r="A195" s="201"/>
      <c r="B195" s="200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5">
      <c r="A196" s="201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4.25">
      <c r="A197" s="201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>
      <c r="A198" s="55" t="s">
        <v>156</v>
      </c>
    </row>
    <row r="199" spans="1:17" ht="30">
      <c r="A199" s="43" t="s">
        <v>3</v>
      </c>
      <c r="B199" s="43" t="s">
        <v>81</v>
      </c>
      <c r="C199" s="43" t="s">
        <v>4</v>
      </c>
      <c r="D199" s="195" t="s">
        <v>5</v>
      </c>
      <c r="E199" s="195"/>
      <c r="F199" s="195"/>
      <c r="G199" s="196" t="s">
        <v>6</v>
      </c>
      <c r="H199" s="196" t="s">
        <v>7</v>
      </c>
      <c r="I199" s="196"/>
      <c r="J199" s="196"/>
    </row>
    <row r="200" spans="1:17" ht="15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196"/>
      <c r="H200" s="50">
        <v>2016</v>
      </c>
      <c r="I200" s="50" t="s">
        <v>9</v>
      </c>
      <c r="J200" s="50" t="s">
        <v>10</v>
      </c>
    </row>
    <row r="201" spans="1:17" ht="7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193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>
      <c r="A204" s="194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3"/>
  <sheetViews>
    <sheetView topLeftCell="A18" workbookViewId="0">
      <selection activeCell="N26" sqref="N26"/>
    </sheetView>
  </sheetViews>
  <sheetFormatPr defaultRowHeight="12.75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4.7109375" customWidth="1"/>
    <col min="15" max="15" width="14.28515625" customWidth="1"/>
    <col min="16" max="16" width="14.140625" customWidth="1"/>
    <col min="17" max="17" width="14.85546875" bestFit="1" customWidth="1"/>
    <col min="19" max="19" width="13.5703125" bestFit="1" customWidth="1"/>
  </cols>
  <sheetData>
    <row r="1" spans="1:19" ht="15">
      <c r="A1" s="1"/>
      <c r="O1" s="3" t="s">
        <v>167</v>
      </c>
    </row>
    <row r="2" spans="1:19" ht="15">
      <c r="O2" s="3" t="s">
        <v>168</v>
      </c>
    </row>
    <row r="3" spans="1:19" ht="18.75">
      <c r="A3" s="203" t="s">
        <v>1</v>
      </c>
      <c r="B3" s="203"/>
      <c r="C3" s="204"/>
      <c r="D3" s="203"/>
      <c r="E3" s="203"/>
      <c r="F3" s="203"/>
      <c r="G3" s="203"/>
      <c r="H3" s="203"/>
      <c r="I3" s="204"/>
      <c r="J3" s="203"/>
      <c r="K3" s="203"/>
      <c r="L3" s="203"/>
      <c r="M3" s="203"/>
      <c r="N3" s="204"/>
      <c r="O3" s="203"/>
      <c r="P3" s="203"/>
      <c r="Q3" s="203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" hidden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>
      <c r="A6" s="60" t="s">
        <v>3</v>
      </c>
      <c r="B6" s="60" t="s">
        <v>81</v>
      </c>
      <c r="C6" s="60" t="s">
        <v>152</v>
      </c>
      <c r="D6" s="60" t="s">
        <v>4</v>
      </c>
      <c r="E6" s="197" t="s">
        <v>5</v>
      </c>
      <c r="F6" s="197"/>
      <c r="G6" s="197"/>
      <c r="H6" s="198" t="s">
        <v>6</v>
      </c>
      <c r="I6" s="198"/>
      <c r="J6" s="198"/>
      <c r="K6" s="198"/>
      <c r="L6" s="198" t="s">
        <v>7</v>
      </c>
      <c r="M6" s="198"/>
      <c r="N6" s="198"/>
      <c r="O6" s="198"/>
      <c r="P6" s="198"/>
      <c r="Q6" s="198"/>
    </row>
    <row r="7" spans="1:19" ht="60">
      <c r="A7" s="39"/>
      <c r="B7" s="39"/>
      <c r="C7" s="39"/>
      <c r="D7" s="39"/>
      <c r="E7" s="61" t="s">
        <v>8</v>
      </c>
      <c r="F7" s="61" t="s">
        <v>9</v>
      </c>
      <c r="G7" s="61" t="s">
        <v>10</v>
      </c>
      <c r="H7" s="41" t="s">
        <v>79</v>
      </c>
      <c r="I7" s="60" t="s">
        <v>80</v>
      </c>
      <c r="J7" s="41" t="s">
        <v>11</v>
      </c>
      <c r="K7" s="61" t="s">
        <v>12</v>
      </c>
      <c r="L7" s="202" t="s">
        <v>8</v>
      </c>
      <c r="M7" s="202"/>
      <c r="N7" s="202"/>
      <c r="O7" s="202"/>
      <c r="P7" s="61" t="s">
        <v>9</v>
      </c>
      <c r="Q7" s="61" t="s">
        <v>10</v>
      </c>
    </row>
    <row r="8" spans="1:19" ht="43.5" customHeight="1">
      <c r="A8" s="42" t="s">
        <v>13</v>
      </c>
      <c r="B8" s="42" t="s">
        <v>14</v>
      </c>
      <c r="C8" s="42"/>
      <c r="D8" s="59" t="s">
        <v>15</v>
      </c>
      <c r="E8" s="42" t="s">
        <v>16</v>
      </c>
      <c r="F8" s="42" t="s">
        <v>16</v>
      </c>
      <c r="G8" s="42" t="s">
        <v>16</v>
      </c>
      <c r="H8" s="59" t="s">
        <v>17</v>
      </c>
      <c r="I8" s="59" t="s">
        <v>17</v>
      </c>
      <c r="J8" s="59" t="s">
        <v>17</v>
      </c>
      <c r="K8" s="59" t="s">
        <v>17</v>
      </c>
      <c r="L8" s="59" t="s">
        <v>85</v>
      </c>
      <c r="M8" s="59" t="s">
        <v>83</v>
      </c>
      <c r="N8" s="59" t="s">
        <v>84</v>
      </c>
      <c r="O8" s="59" t="s">
        <v>12</v>
      </c>
      <c r="P8" s="59" t="s">
        <v>17</v>
      </c>
      <c r="Q8" s="59" t="s">
        <v>17</v>
      </c>
    </row>
    <row r="9" spans="1:19" ht="15">
      <c r="A9" s="66" t="s">
        <v>18</v>
      </c>
      <c r="B9" s="45"/>
      <c r="C9" s="45"/>
      <c r="D9" s="45"/>
      <c r="E9" s="75"/>
      <c r="F9" s="75"/>
      <c r="G9" s="75"/>
      <c r="H9" s="46"/>
      <c r="I9" s="46"/>
      <c r="J9" s="46"/>
      <c r="K9" s="46"/>
      <c r="L9" s="65">
        <f>L10+L15</f>
        <v>4750077.92</v>
      </c>
      <c r="M9" s="65">
        <f t="shared" ref="M9:Q9" si="0">M10+M15</f>
        <v>1411442.4</v>
      </c>
      <c r="N9" s="65">
        <f t="shared" si="0"/>
        <v>6372720</v>
      </c>
      <c r="O9" s="65">
        <f t="shared" si="0"/>
        <v>12534240.32</v>
      </c>
      <c r="P9" s="65">
        <f t="shared" si="0"/>
        <v>12623346.080000002</v>
      </c>
      <c r="Q9" s="65">
        <f t="shared" si="0"/>
        <v>12623346.080000002</v>
      </c>
    </row>
    <row r="10" spans="1:19" ht="85.5">
      <c r="A10" s="47"/>
      <c r="B10" s="47" t="s">
        <v>76</v>
      </c>
      <c r="C10" s="47"/>
      <c r="D10" s="45"/>
      <c r="E10" s="75"/>
      <c r="F10" s="75"/>
      <c r="G10" s="75"/>
      <c r="H10" s="46"/>
      <c r="I10" s="46"/>
      <c r="J10" s="46"/>
      <c r="K10" s="46"/>
      <c r="L10" s="46">
        <f>L11+L12</f>
        <v>4750077.92</v>
      </c>
      <c r="M10" s="46">
        <f t="shared" ref="M10:Q10" si="1">M11+M12</f>
        <v>1411442.4</v>
      </c>
      <c r="N10" s="46">
        <f t="shared" si="1"/>
        <v>3253642.8</v>
      </c>
      <c r="O10" s="46">
        <f t="shared" si="1"/>
        <v>9415163.1199999992</v>
      </c>
      <c r="P10" s="46">
        <f t="shared" si="1"/>
        <v>9504268.8800000008</v>
      </c>
      <c r="Q10" s="46">
        <f t="shared" si="1"/>
        <v>9504268.8800000008</v>
      </c>
      <c r="S10" s="4"/>
    </row>
    <row r="11" spans="1:19" ht="105">
      <c r="A11" s="42"/>
      <c r="B11" s="44" t="s">
        <v>19</v>
      </c>
      <c r="C11" s="42" t="s">
        <v>0</v>
      </c>
      <c r="D11" s="44" t="s">
        <v>20</v>
      </c>
      <c r="E11" s="82">
        <v>23</v>
      </c>
      <c r="F11" s="82" t="s">
        <v>21</v>
      </c>
      <c r="G11" s="82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1094501</v>
      </c>
      <c r="M11" s="46">
        <f>E11*I11</f>
        <v>270526.46000000002</v>
      </c>
      <c r="N11" s="46">
        <f>E11*J11</f>
        <v>623614.87</v>
      </c>
      <c r="O11" s="46">
        <f>SUM(L11:N11)</f>
        <v>1988642.33</v>
      </c>
      <c r="P11" s="46">
        <f>F11*K11</f>
        <v>2766806.72</v>
      </c>
      <c r="Q11" s="46">
        <f>G11*K11</f>
        <v>2766806.72</v>
      </c>
      <c r="S11" s="4"/>
    </row>
    <row r="12" spans="1:19" ht="15">
      <c r="A12" s="49"/>
      <c r="B12" s="50" t="s">
        <v>24</v>
      </c>
      <c r="C12" s="50"/>
      <c r="D12" s="50" t="s">
        <v>20</v>
      </c>
      <c r="E12" s="82">
        <v>97</v>
      </c>
      <c r="F12" s="82" t="s">
        <v>25</v>
      </c>
      <c r="G12" s="82" t="s">
        <v>25</v>
      </c>
      <c r="H12" s="46">
        <v>37686.36</v>
      </c>
      <c r="I12" s="46">
        <v>11762.02</v>
      </c>
      <c r="J12" s="46">
        <v>27113.69</v>
      </c>
      <c r="K12" s="46">
        <f t="shared" ref="K12:K64" si="2">H12+I12+J12</f>
        <v>76562.070000000007</v>
      </c>
      <c r="L12" s="46">
        <f>E12*H12</f>
        <v>3655576.92</v>
      </c>
      <c r="M12" s="46">
        <f t="shared" ref="M12:M61" si="3">E12*I12</f>
        <v>1140915.94</v>
      </c>
      <c r="N12" s="46">
        <f t="shared" ref="N12:N61" si="4">E12*J12</f>
        <v>2630027.9299999997</v>
      </c>
      <c r="O12" s="46">
        <f t="shared" ref="O12:O61" si="5">SUM(L12:N12)</f>
        <v>7426520.7899999991</v>
      </c>
      <c r="P12" s="46">
        <f t="shared" ref="P12:P61" si="6">F12*K12</f>
        <v>6737462.1600000001</v>
      </c>
      <c r="Q12" s="46">
        <f t="shared" ref="Q12:Q61" si="7">G12*K12</f>
        <v>6737462.1600000001</v>
      </c>
      <c r="S12" s="4"/>
    </row>
    <row r="13" spans="1:19" ht="75" hidden="1">
      <c r="A13" s="42" t="s">
        <v>77</v>
      </c>
      <c r="B13" s="45"/>
      <c r="C13" s="45"/>
      <c r="D13" s="44" t="s">
        <v>20</v>
      </c>
      <c r="E13" s="82" t="s">
        <v>27</v>
      </c>
      <c r="F13" s="82" t="s">
        <v>27</v>
      </c>
      <c r="G13" s="82" t="s">
        <v>27</v>
      </c>
      <c r="H13" s="46"/>
      <c r="I13" s="46"/>
      <c r="J13" s="46"/>
      <c r="K13" s="46">
        <f t="shared" si="2"/>
        <v>0</v>
      </c>
      <c r="L13" s="46">
        <f t="shared" ref="L13:L14" si="8">E13*H13</f>
        <v>0</v>
      </c>
      <c r="M13" s="46">
        <f t="shared" si="3"/>
        <v>0</v>
      </c>
      <c r="N13" s="46">
        <f t="shared" si="4"/>
        <v>0</v>
      </c>
      <c r="O13" s="46">
        <f t="shared" si="5"/>
        <v>0</v>
      </c>
      <c r="P13" s="46">
        <f t="shared" si="6"/>
        <v>0</v>
      </c>
      <c r="Q13" s="46">
        <f t="shared" si="7"/>
        <v>0</v>
      </c>
    </row>
    <row r="14" spans="1:19" ht="15" hidden="1">
      <c r="A14" s="59"/>
      <c r="B14" s="45"/>
      <c r="C14" s="45"/>
      <c r="D14" s="45"/>
      <c r="E14" s="82" t="s">
        <v>27</v>
      </c>
      <c r="F14" s="82" t="s">
        <v>27</v>
      </c>
      <c r="G14" s="82" t="s">
        <v>27</v>
      </c>
      <c r="H14" s="46"/>
      <c r="I14" s="46"/>
      <c r="J14" s="46">
        <v>0</v>
      </c>
      <c r="K14" s="46">
        <f t="shared" si="2"/>
        <v>0</v>
      </c>
      <c r="L14" s="46">
        <f t="shared" si="8"/>
        <v>0</v>
      </c>
      <c r="M14" s="46">
        <f t="shared" si="3"/>
        <v>0</v>
      </c>
      <c r="N14" s="46">
        <f t="shared" si="4"/>
        <v>0</v>
      </c>
      <c r="O14" s="46">
        <f t="shared" si="5"/>
        <v>0</v>
      </c>
      <c r="P14" s="46">
        <f t="shared" si="6"/>
        <v>0</v>
      </c>
      <c r="Q14" s="46">
        <f t="shared" si="7"/>
        <v>0</v>
      </c>
    </row>
    <row r="15" spans="1:19" ht="15">
      <c r="A15" s="50"/>
      <c r="B15" s="50" t="s">
        <v>28</v>
      </c>
      <c r="C15" s="50"/>
      <c r="D15" s="45"/>
      <c r="E15" s="82" t="s">
        <v>27</v>
      </c>
      <c r="F15" s="82" t="s">
        <v>27</v>
      </c>
      <c r="G15" s="82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/>
      <c r="M15" s="46">
        <f t="shared" si="3"/>
        <v>0</v>
      </c>
      <c r="N15" s="46">
        <f t="shared" si="4"/>
        <v>3119077.2</v>
      </c>
      <c r="O15" s="46">
        <f t="shared" si="5"/>
        <v>3119077.2</v>
      </c>
      <c r="P15" s="46">
        <f t="shared" si="6"/>
        <v>3119077.2</v>
      </c>
      <c r="Q15" s="46">
        <f t="shared" si="7"/>
        <v>3119077.2</v>
      </c>
    </row>
    <row r="16" spans="1:19" ht="15">
      <c r="A16" s="67" t="s">
        <v>29</v>
      </c>
      <c r="B16" s="50"/>
      <c r="C16" s="50"/>
      <c r="D16" s="45"/>
      <c r="E16" s="82"/>
      <c r="F16" s="82"/>
      <c r="G16" s="82"/>
      <c r="H16" s="46"/>
      <c r="I16" s="46"/>
      <c r="J16" s="46"/>
      <c r="K16" s="46">
        <f t="shared" si="2"/>
        <v>0</v>
      </c>
      <c r="L16" s="65">
        <f>L17+L19</f>
        <v>2191749.33</v>
      </c>
      <c r="M16" s="65">
        <f t="shared" ref="M16:Q16" si="9">M17+M19</f>
        <v>411670.7</v>
      </c>
      <c r="N16" s="65">
        <f t="shared" si="9"/>
        <v>1858710</v>
      </c>
      <c r="O16" s="65">
        <f t="shared" si="9"/>
        <v>4462130.03</v>
      </c>
      <c r="P16" s="65">
        <f t="shared" si="9"/>
        <v>4591866.07</v>
      </c>
      <c r="Q16" s="65">
        <f t="shared" si="9"/>
        <v>4591866.07</v>
      </c>
    </row>
    <row r="17" spans="1:17" ht="85.5">
      <c r="A17" s="51"/>
      <c r="B17" s="47" t="s">
        <v>76</v>
      </c>
      <c r="C17" s="47"/>
      <c r="D17" s="45"/>
      <c r="E17" s="83"/>
      <c r="F17" s="83"/>
      <c r="G17" s="83"/>
      <c r="H17" s="46"/>
      <c r="I17" s="46"/>
      <c r="J17" s="46"/>
      <c r="K17" s="46">
        <f t="shared" si="2"/>
        <v>0</v>
      </c>
      <c r="L17" s="46">
        <f t="shared" ref="L17:Q17" si="10">SUM(L18:L18)</f>
        <v>2191749.33</v>
      </c>
      <c r="M17" s="46">
        <f t="shared" si="10"/>
        <v>411670.7</v>
      </c>
      <c r="N17" s="46">
        <f t="shared" si="10"/>
        <v>948979.14999999991</v>
      </c>
      <c r="O17" s="46">
        <f t="shared" si="10"/>
        <v>3552399.18</v>
      </c>
      <c r="P17" s="46">
        <f t="shared" si="10"/>
        <v>3630150.6</v>
      </c>
      <c r="Q17" s="46">
        <f t="shared" si="10"/>
        <v>3630150.6</v>
      </c>
    </row>
    <row r="18" spans="1:17" ht="105">
      <c r="A18" s="42"/>
      <c r="B18" s="45"/>
      <c r="C18" s="42" t="s">
        <v>30</v>
      </c>
      <c r="D18" s="50" t="s">
        <v>31</v>
      </c>
      <c r="E18" s="82" t="s">
        <v>165</v>
      </c>
      <c r="F18" s="82" t="s">
        <v>166</v>
      </c>
      <c r="G18" s="82" t="s">
        <v>166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>3*H18</f>
        <v>2191749.33</v>
      </c>
      <c r="M18" s="46">
        <f>I18*35</f>
        <v>411670.7</v>
      </c>
      <c r="N18" s="46">
        <f>J18*35</f>
        <v>948979.14999999991</v>
      </c>
      <c r="O18" s="46">
        <f t="shared" si="5"/>
        <v>3552399.18</v>
      </c>
      <c r="P18" s="46">
        <f>O18+77751.42</f>
        <v>3630150.6</v>
      </c>
      <c r="Q18" s="46">
        <f>P18</f>
        <v>3630150.6</v>
      </c>
    </row>
    <row r="19" spans="1:17" ht="15">
      <c r="A19" s="50"/>
      <c r="B19" s="50" t="s">
        <v>28</v>
      </c>
      <c r="C19" s="50"/>
      <c r="D19" s="50" t="s">
        <v>20</v>
      </c>
      <c r="E19" s="82">
        <v>35</v>
      </c>
      <c r="F19" s="82" t="s">
        <v>34</v>
      </c>
      <c r="G19" s="82" t="s">
        <v>34</v>
      </c>
      <c r="H19" s="46" t="s">
        <v>23</v>
      </c>
      <c r="I19" s="46"/>
      <c r="J19" s="46">
        <v>25992.31</v>
      </c>
      <c r="K19" s="46">
        <f t="shared" si="2"/>
        <v>25992.31</v>
      </c>
      <c r="L19" s="46">
        <f t="shared" ref="L19" si="11">E19*H19</f>
        <v>0</v>
      </c>
      <c r="M19" s="46">
        <f t="shared" si="3"/>
        <v>0</v>
      </c>
      <c r="N19" s="46">
        <f t="shared" si="4"/>
        <v>909730.85000000009</v>
      </c>
      <c r="O19" s="46">
        <f t="shared" si="5"/>
        <v>909730.85000000009</v>
      </c>
      <c r="P19" s="46">
        <f t="shared" si="6"/>
        <v>961715.47000000009</v>
      </c>
      <c r="Q19" s="46">
        <f t="shared" si="7"/>
        <v>961715.47000000009</v>
      </c>
    </row>
    <row r="20" spans="1:17" ht="14.25">
      <c r="A20" s="66" t="s">
        <v>35</v>
      </c>
      <c r="B20" s="68"/>
      <c r="C20" s="68"/>
      <c r="D20" s="68"/>
      <c r="E20" s="84"/>
      <c r="F20" s="84"/>
      <c r="G20" s="84"/>
      <c r="H20" s="65"/>
      <c r="I20" s="65"/>
      <c r="J20" s="65"/>
      <c r="K20" s="65">
        <f t="shared" si="2"/>
        <v>0</v>
      </c>
      <c r="L20" s="65">
        <f>L21+L26</f>
        <v>8170899.6600000001</v>
      </c>
      <c r="M20" s="65">
        <f t="shared" ref="M20:Q20" si="12">M21+M26</f>
        <v>1411442.4</v>
      </c>
      <c r="N20" s="65">
        <f t="shared" si="12"/>
        <v>6372720</v>
      </c>
      <c r="O20" s="65">
        <f t="shared" si="12"/>
        <v>15955062.060000002</v>
      </c>
      <c r="P20" s="65">
        <f t="shared" si="12"/>
        <v>16978176.650000002</v>
      </c>
      <c r="Q20" s="65">
        <f t="shared" si="12"/>
        <v>16978176.650000002</v>
      </c>
    </row>
    <row r="21" spans="1:17" ht="85.5">
      <c r="A21" s="42"/>
      <c r="B21" s="47" t="s">
        <v>76</v>
      </c>
      <c r="C21" s="47"/>
      <c r="D21" s="45"/>
      <c r="E21" s="83"/>
      <c r="F21" s="83"/>
      <c r="G21" s="83"/>
      <c r="H21" s="46"/>
      <c r="I21" s="46"/>
      <c r="J21" s="46"/>
      <c r="K21" s="46">
        <f t="shared" si="2"/>
        <v>0</v>
      </c>
      <c r="L21" s="46">
        <f>SUM(L22:L25)</f>
        <v>8170899.6600000001</v>
      </c>
      <c r="M21" s="46">
        <f t="shared" ref="M21:Q21" si="13">SUM(M22:M25)</f>
        <v>1411442.4</v>
      </c>
      <c r="N21" s="46">
        <f>SUM(N22:N25)</f>
        <v>3253642.8</v>
      </c>
      <c r="O21" s="46">
        <f t="shared" si="13"/>
        <v>12835984.860000003</v>
      </c>
      <c r="P21" s="46">
        <f t="shared" si="13"/>
        <v>13859099.450000001</v>
      </c>
      <c r="Q21" s="46">
        <f t="shared" si="13"/>
        <v>13859099.450000001</v>
      </c>
    </row>
    <row r="22" spans="1:17" ht="105">
      <c r="A22" s="42"/>
      <c r="B22" s="44" t="s">
        <v>19</v>
      </c>
      <c r="C22" s="42" t="s">
        <v>0</v>
      </c>
      <c r="D22" s="50" t="s">
        <v>20</v>
      </c>
      <c r="E22" s="82">
        <v>16</v>
      </c>
      <c r="F22" s="82">
        <v>29</v>
      </c>
      <c r="G22" s="82">
        <v>29</v>
      </c>
      <c r="H22" s="46">
        <v>41608.51</v>
      </c>
      <c r="I22" s="46">
        <v>11762.02</v>
      </c>
      <c r="J22" s="46">
        <v>27113.69</v>
      </c>
      <c r="K22" s="46">
        <f t="shared" si="2"/>
        <v>80484.22</v>
      </c>
      <c r="L22" s="46">
        <f>E22*H22</f>
        <v>665736.16</v>
      </c>
      <c r="M22" s="46">
        <f t="shared" si="3"/>
        <v>188192.32</v>
      </c>
      <c r="N22" s="46">
        <f t="shared" si="4"/>
        <v>433819.04</v>
      </c>
      <c r="O22" s="46">
        <f t="shared" si="5"/>
        <v>1287747.52</v>
      </c>
      <c r="P22" s="46">
        <f t="shared" si="6"/>
        <v>2334042.38</v>
      </c>
      <c r="Q22" s="46">
        <f t="shared" si="7"/>
        <v>2334042.38</v>
      </c>
    </row>
    <row r="23" spans="1:17" ht="15">
      <c r="A23" s="49"/>
      <c r="B23" s="44" t="s">
        <v>24</v>
      </c>
      <c r="C23" s="44"/>
      <c r="D23" s="44" t="s">
        <v>20</v>
      </c>
      <c r="E23" s="82">
        <v>46</v>
      </c>
      <c r="F23" s="82">
        <v>43</v>
      </c>
      <c r="G23" s="82">
        <v>43</v>
      </c>
      <c r="H23" s="46">
        <v>32991.18</v>
      </c>
      <c r="I23" s="46">
        <v>11762.02</v>
      </c>
      <c r="J23" s="46">
        <v>27113.69</v>
      </c>
      <c r="K23" s="46">
        <f t="shared" si="2"/>
        <v>71866.89</v>
      </c>
      <c r="L23" s="46">
        <f t="shared" ref="L23:L68" si="14">E23*H23</f>
        <v>1517594.28</v>
      </c>
      <c r="M23" s="46">
        <f t="shared" si="3"/>
        <v>541052.92000000004</v>
      </c>
      <c r="N23" s="46">
        <f t="shared" si="4"/>
        <v>1247229.74</v>
      </c>
      <c r="O23" s="46">
        <f t="shared" si="5"/>
        <v>3305876.9400000004</v>
      </c>
      <c r="P23" s="46">
        <f t="shared" si="6"/>
        <v>3090276.27</v>
      </c>
      <c r="Q23" s="46">
        <f t="shared" si="7"/>
        <v>3090276.27</v>
      </c>
    </row>
    <row r="24" spans="1:17" ht="105">
      <c r="A24" s="42"/>
      <c r="B24" s="44" t="s">
        <v>24</v>
      </c>
      <c r="C24" s="42" t="s">
        <v>38</v>
      </c>
      <c r="D24" s="50" t="s">
        <v>20</v>
      </c>
      <c r="E24" s="82">
        <v>36</v>
      </c>
      <c r="F24" s="82">
        <v>48</v>
      </c>
      <c r="G24" s="82">
        <v>48</v>
      </c>
      <c r="H24" s="46">
        <v>136848.89000000001</v>
      </c>
      <c r="I24" s="46">
        <v>11762.02</v>
      </c>
      <c r="J24" s="46">
        <v>27113.69</v>
      </c>
      <c r="K24" s="46">
        <f t="shared" si="2"/>
        <v>175724.6</v>
      </c>
      <c r="L24" s="46">
        <f t="shared" si="14"/>
        <v>4926560.040000001</v>
      </c>
      <c r="M24" s="46">
        <f t="shared" si="3"/>
        <v>423432.72000000003</v>
      </c>
      <c r="N24" s="46">
        <f t="shared" si="4"/>
        <v>976092.84</v>
      </c>
      <c r="O24" s="46">
        <f t="shared" si="5"/>
        <v>6326085.6000000006</v>
      </c>
      <c r="P24" s="46">
        <f t="shared" si="6"/>
        <v>8434780.8000000007</v>
      </c>
      <c r="Q24" s="46">
        <f t="shared" si="7"/>
        <v>8434780.8000000007</v>
      </c>
    </row>
    <row r="25" spans="1:17" ht="120">
      <c r="A25" s="42"/>
      <c r="B25" s="44" t="s">
        <v>24</v>
      </c>
      <c r="C25" s="64" t="s">
        <v>162</v>
      </c>
      <c r="D25" s="50" t="s">
        <v>20</v>
      </c>
      <c r="E25" s="82">
        <v>22</v>
      </c>
      <c r="F25" s="82"/>
      <c r="G25" s="82"/>
      <c r="H25" s="46">
        <v>48227.69</v>
      </c>
      <c r="I25" s="46" t="s">
        <v>163</v>
      </c>
      <c r="J25" s="46" t="s">
        <v>164</v>
      </c>
      <c r="K25" s="46">
        <f t="shared" si="2"/>
        <v>87103.400000000009</v>
      </c>
      <c r="L25" s="46">
        <f t="shared" si="14"/>
        <v>1061009.1800000002</v>
      </c>
      <c r="M25" s="46">
        <f t="shared" si="3"/>
        <v>258764.44</v>
      </c>
      <c r="N25" s="46">
        <f t="shared" si="4"/>
        <v>596501.17999999993</v>
      </c>
      <c r="O25" s="46">
        <f t="shared" si="5"/>
        <v>1916274.8</v>
      </c>
      <c r="P25" s="46">
        <f t="shared" si="6"/>
        <v>0</v>
      </c>
      <c r="Q25" s="46">
        <f t="shared" si="7"/>
        <v>0</v>
      </c>
    </row>
    <row r="26" spans="1:17" ht="15">
      <c r="A26" s="44"/>
      <c r="B26" s="44" t="s">
        <v>28</v>
      </c>
      <c r="C26" s="44"/>
      <c r="D26" s="50" t="s">
        <v>20</v>
      </c>
      <c r="E26" s="82" t="s">
        <v>27</v>
      </c>
      <c r="F26" s="82" t="s">
        <v>27</v>
      </c>
      <c r="G26" s="82" t="s">
        <v>27</v>
      </c>
      <c r="H26" s="46" t="s">
        <v>23</v>
      </c>
      <c r="I26" s="46"/>
      <c r="J26" s="46">
        <v>25992.31</v>
      </c>
      <c r="K26" s="46">
        <f t="shared" si="2"/>
        <v>25992.31</v>
      </c>
      <c r="L26" s="46">
        <f t="shared" si="14"/>
        <v>0</v>
      </c>
      <c r="M26" s="46">
        <f t="shared" si="3"/>
        <v>0</v>
      </c>
      <c r="N26" s="46">
        <f t="shared" si="4"/>
        <v>3119077.2</v>
      </c>
      <c r="O26" s="46">
        <f t="shared" si="5"/>
        <v>3119077.2</v>
      </c>
      <c r="P26" s="46">
        <f t="shared" si="6"/>
        <v>3119077.2</v>
      </c>
      <c r="Q26" s="46">
        <f t="shared" si="7"/>
        <v>3119077.2</v>
      </c>
    </row>
    <row r="27" spans="1:17" ht="14.25">
      <c r="A27" s="66" t="s">
        <v>40</v>
      </c>
      <c r="B27" s="69"/>
      <c r="C27" s="69"/>
      <c r="D27" s="69"/>
      <c r="E27" s="84"/>
      <c r="F27" s="84"/>
      <c r="G27" s="84"/>
      <c r="H27" s="65"/>
      <c r="I27" s="65"/>
      <c r="J27" s="65"/>
      <c r="K27" s="65">
        <f t="shared" si="2"/>
        <v>0</v>
      </c>
      <c r="L27" s="65">
        <f>L28+L32</f>
        <v>3887448.5700000003</v>
      </c>
      <c r="M27" s="65">
        <f t="shared" ref="M27:Q27" si="15">M28+M32</f>
        <v>1235012.1000000001</v>
      </c>
      <c r="N27" s="65">
        <f t="shared" si="15"/>
        <v>5576130</v>
      </c>
      <c r="O27" s="65">
        <f t="shared" si="15"/>
        <v>10698590.67</v>
      </c>
      <c r="P27" s="65">
        <f t="shared" si="15"/>
        <v>10536804.469999999</v>
      </c>
      <c r="Q27" s="65">
        <f t="shared" si="15"/>
        <v>10536804.469999999</v>
      </c>
    </row>
    <row r="28" spans="1:17" ht="85.5">
      <c r="A28" s="42"/>
      <c r="B28" s="47" t="s">
        <v>76</v>
      </c>
      <c r="C28" s="47"/>
      <c r="D28" s="52"/>
      <c r="E28" s="83"/>
      <c r="F28" s="83"/>
      <c r="G28" s="83"/>
      <c r="H28" s="46"/>
      <c r="I28" s="46"/>
      <c r="J28" s="46"/>
      <c r="K28" s="46">
        <f t="shared" si="2"/>
        <v>0</v>
      </c>
      <c r="L28" s="46">
        <f>SUM(L29:L31)</f>
        <v>3887448.5700000003</v>
      </c>
      <c r="M28" s="46">
        <f t="shared" ref="M28:Q28" si="16">SUM(M29:M31)</f>
        <v>1235012.1000000001</v>
      </c>
      <c r="N28" s="46">
        <f t="shared" si="16"/>
        <v>2846937.45</v>
      </c>
      <c r="O28" s="46">
        <f t="shared" si="16"/>
        <v>7969398.1199999992</v>
      </c>
      <c r="P28" s="46">
        <f t="shared" si="16"/>
        <v>7781619.6099999994</v>
      </c>
      <c r="Q28" s="46">
        <f t="shared" si="16"/>
        <v>7781619.6099999994</v>
      </c>
    </row>
    <row r="29" spans="1:17" ht="105">
      <c r="A29" s="42"/>
      <c r="B29" s="44" t="s">
        <v>19</v>
      </c>
      <c r="C29" s="42" t="s">
        <v>0</v>
      </c>
      <c r="D29" s="50" t="s">
        <v>20</v>
      </c>
      <c r="E29" s="82">
        <v>12</v>
      </c>
      <c r="F29" s="82" t="s">
        <v>41</v>
      </c>
      <c r="G29" s="82" t="s">
        <v>41</v>
      </c>
      <c r="H29" s="46">
        <v>41608.51</v>
      </c>
      <c r="I29" s="46">
        <v>11762.02</v>
      </c>
      <c r="J29" s="46">
        <v>27113.69</v>
      </c>
      <c r="K29" s="46">
        <f t="shared" si="2"/>
        <v>80484.22</v>
      </c>
      <c r="L29" s="46">
        <f t="shared" si="14"/>
        <v>499302.12</v>
      </c>
      <c r="M29" s="46">
        <f t="shared" si="3"/>
        <v>141144.24</v>
      </c>
      <c r="N29" s="46">
        <f t="shared" si="4"/>
        <v>325364.27999999997</v>
      </c>
      <c r="O29" s="46">
        <f t="shared" si="5"/>
        <v>965810.6399999999</v>
      </c>
      <c r="P29" s="46">
        <f t="shared" si="6"/>
        <v>1529200.18</v>
      </c>
      <c r="Q29" s="46">
        <f t="shared" si="7"/>
        <v>1529200.18</v>
      </c>
    </row>
    <row r="30" spans="1:17" ht="15">
      <c r="A30" s="49"/>
      <c r="B30" s="44" t="s">
        <v>24</v>
      </c>
      <c r="C30" s="44"/>
      <c r="D30" s="44" t="s">
        <v>20</v>
      </c>
      <c r="E30" s="82">
        <v>72</v>
      </c>
      <c r="F30" s="82" t="s">
        <v>42</v>
      </c>
      <c r="G30" s="82" t="s">
        <v>42</v>
      </c>
      <c r="H30" s="46">
        <v>32991.18</v>
      </c>
      <c r="I30" s="46">
        <v>11762.02</v>
      </c>
      <c r="J30" s="46">
        <v>27113.69</v>
      </c>
      <c r="K30" s="46">
        <f t="shared" si="2"/>
        <v>71866.89</v>
      </c>
      <c r="L30" s="46">
        <f t="shared" si="14"/>
        <v>2375364.96</v>
      </c>
      <c r="M30" s="46">
        <f t="shared" si="3"/>
        <v>846865.44000000006</v>
      </c>
      <c r="N30" s="46">
        <f t="shared" si="4"/>
        <v>1952185.68</v>
      </c>
      <c r="O30" s="46">
        <f t="shared" si="5"/>
        <v>5174416.08</v>
      </c>
      <c r="P30" s="46">
        <f t="shared" si="6"/>
        <v>6252419.4299999997</v>
      </c>
      <c r="Q30" s="46">
        <f t="shared" si="7"/>
        <v>6252419.4299999997</v>
      </c>
    </row>
    <row r="31" spans="1:17" ht="120">
      <c r="A31" s="49"/>
      <c r="B31" s="44" t="s">
        <v>24</v>
      </c>
      <c r="C31" s="64" t="s">
        <v>162</v>
      </c>
      <c r="D31" s="50" t="s">
        <v>20</v>
      </c>
      <c r="E31" s="82">
        <v>21</v>
      </c>
      <c r="F31" s="82"/>
      <c r="G31" s="82"/>
      <c r="H31" s="46">
        <v>48227.69</v>
      </c>
      <c r="I31" s="46" t="s">
        <v>163</v>
      </c>
      <c r="J31" s="46" t="s">
        <v>164</v>
      </c>
      <c r="K31" s="46">
        <f t="shared" ref="K31" si="17">H31+I31+J31</f>
        <v>87103.400000000009</v>
      </c>
      <c r="L31" s="46">
        <f t="shared" si="14"/>
        <v>1012781.49</v>
      </c>
      <c r="M31" s="46">
        <f t="shared" si="3"/>
        <v>247002.42</v>
      </c>
      <c r="N31" s="46">
        <f t="shared" si="4"/>
        <v>569387.49</v>
      </c>
      <c r="O31" s="46">
        <f t="shared" si="5"/>
        <v>1829171.4</v>
      </c>
      <c r="P31" s="46">
        <f t="shared" si="6"/>
        <v>0</v>
      </c>
      <c r="Q31" s="46">
        <f t="shared" si="7"/>
        <v>0</v>
      </c>
    </row>
    <row r="32" spans="1:17" ht="15">
      <c r="A32" s="44"/>
      <c r="B32" s="44" t="s">
        <v>28</v>
      </c>
      <c r="C32" s="44"/>
      <c r="D32" s="44" t="s">
        <v>20</v>
      </c>
      <c r="E32" s="82">
        <v>105</v>
      </c>
      <c r="F32" s="82" t="s">
        <v>43</v>
      </c>
      <c r="G32" s="82" t="s">
        <v>43</v>
      </c>
      <c r="H32" s="46" t="s">
        <v>23</v>
      </c>
      <c r="I32" s="46"/>
      <c r="J32" s="46">
        <v>25992.31</v>
      </c>
      <c r="K32" s="46">
        <f t="shared" si="2"/>
        <v>25992.31</v>
      </c>
      <c r="L32" s="46">
        <f t="shared" si="14"/>
        <v>0</v>
      </c>
      <c r="M32" s="46">
        <f t="shared" si="3"/>
        <v>0</v>
      </c>
      <c r="N32" s="46">
        <f t="shared" si="4"/>
        <v>2729192.5500000003</v>
      </c>
      <c r="O32" s="46">
        <f t="shared" si="5"/>
        <v>2729192.5500000003</v>
      </c>
      <c r="P32" s="46">
        <f t="shared" si="6"/>
        <v>2755184.8600000003</v>
      </c>
      <c r="Q32" s="46">
        <f t="shared" si="7"/>
        <v>2755184.8600000003</v>
      </c>
    </row>
    <row r="33" spans="1:17" ht="14.25">
      <c r="A33" s="66" t="s">
        <v>44</v>
      </c>
      <c r="B33" s="69"/>
      <c r="C33" s="69"/>
      <c r="D33" s="69"/>
      <c r="E33" s="84"/>
      <c r="F33" s="84"/>
      <c r="G33" s="84"/>
      <c r="H33" s="65"/>
      <c r="I33" s="65"/>
      <c r="J33" s="65"/>
      <c r="K33" s="65">
        <f t="shared" si="2"/>
        <v>0</v>
      </c>
      <c r="L33" s="65">
        <f>L34+L39</f>
        <v>11187434.960000001</v>
      </c>
      <c r="M33" s="65">
        <f t="shared" ref="M33:Q33" si="18">M34+M39</f>
        <v>2552358.34</v>
      </c>
      <c r="N33" s="65">
        <f t="shared" si="18"/>
        <v>11524002</v>
      </c>
      <c r="O33" s="65">
        <f t="shared" si="18"/>
        <v>25263795.299999997</v>
      </c>
      <c r="P33" s="65">
        <f t="shared" si="18"/>
        <v>29161302.68</v>
      </c>
      <c r="Q33" s="65">
        <f t="shared" si="18"/>
        <v>29161302.68</v>
      </c>
    </row>
    <row r="34" spans="1:17" ht="85.5">
      <c r="A34" s="42"/>
      <c r="B34" s="47" t="s">
        <v>76</v>
      </c>
      <c r="C34" s="47"/>
      <c r="D34" s="52"/>
      <c r="E34" s="83"/>
      <c r="F34" s="83"/>
      <c r="G34" s="83"/>
      <c r="H34" s="46"/>
      <c r="I34" s="46"/>
      <c r="J34" s="46"/>
      <c r="K34" s="46">
        <f t="shared" si="2"/>
        <v>0</v>
      </c>
      <c r="L34" s="46">
        <f>SUM(L35:L38)</f>
        <v>11187434.960000001</v>
      </c>
      <c r="M34" s="46">
        <f t="shared" ref="M34:Q34" si="19">SUM(M35:M38)</f>
        <v>2552358.34</v>
      </c>
      <c r="N34" s="46">
        <f t="shared" si="19"/>
        <v>5883670.7299999995</v>
      </c>
      <c r="O34" s="46">
        <f t="shared" si="19"/>
        <v>19623464.029999997</v>
      </c>
      <c r="P34" s="46">
        <f t="shared" si="19"/>
        <v>23520971.41</v>
      </c>
      <c r="Q34" s="46">
        <f t="shared" si="19"/>
        <v>23520971.41</v>
      </c>
    </row>
    <row r="35" spans="1:17" ht="105">
      <c r="A35" s="42"/>
      <c r="B35" s="44" t="s">
        <v>19</v>
      </c>
      <c r="C35" s="42" t="s">
        <v>0</v>
      </c>
      <c r="D35" s="50" t="s">
        <v>20</v>
      </c>
      <c r="E35" s="82">
        <v>35</v>
      </c>
      <c r="F35" s="82" t="s">
        <v>45</v>
      </c>
      <c r="G35" s="82" t="s">
        <v>45</v>
      </c>
      <c r="H35" s="46">
        <v>41608.51</v>
      </c>
      <c r="I35" s="46">
        <v>11762.02</v>
      </c>
      <c r="J35" s="46">
        <v>27113.69</v>
      </c>
      <c r="K35" s="46">
        <f t="shared" si="2"/>
        <v>80484.22</v>
      </c>
      <c r="L35" s="46">
        <f t="shared" si="14"/>
        <v>1456297.85</v>
      </c>
      <c r="M35" s="46">
        <f t="shared" si="3"/>
        <v>411670.7</v>
      </c>
      <c r="N35" s="46">
        <f t="shared" si="4"/>
        <v>948979.14999999991</v>
      </c>
      <c r="O35" s="46">
        <f t="shared" si="5"/>
        <v>2816947.7</v>
      </c>
      <c r="P35" s="46">
        <f t="shared" si="6"/>
        <v>4185179.44</v>
      </c>
      <c r="Q35" s="46">
        <f t="shared" si="7"/>
        <v>4185179.44</v>
      </c>
    </row>
    <row r="36" spans="1:17" ht="15">
      <c r="A36" s="49"/>
      <c r="B36" s="44" t="s">
        <v>24</v>
      </c>
      <c r="C36" s="44"/>
      <c r="D36" s="44" t="s">
        <v>20</v>
      </c>
      <c r="E36" s="82">
        <v>77</v>
      </c>
      <c r="F36" s="82" t="s">
        <v>46</v>
      </c>
      <c r="G36" s="82" t="s">
        <v>46</v>
      </c>
      <c r="H36" s="46">
        <v>32991.18</v>
      </c>
      <c r="I36" s="46">
        <v>11762.02</v>
      </c>
      <c r="J36" s="46">
        <v>27113.69</v>
      </c>
      <c r="K36" s="46">
        <f t="shared" si="2"/>
        <v>71866.89</v>
      </c>
      <c r="L36" s="46">
        <f t="shared" si="14"/>
        <v>2540320.86</v>
      </c>
      <c r="M36" s="46">
        <f t="shared" si="3"/>
        <v>905675.54</v>
      </c>
      <c r="N36" s="46">
        <f t="shared" si="4"/>
        <v>2087754.13</v>
      </c>
      <c r="O36" s="46">
        <f t="shared" si="5"/>
        <v>5533750.5299999993</v>
      </c>
      <c r="P36" s="46">
        <f t="shared" si="6"/>
        <v>6683620.7699999996</v>
      </c>
      <c r="Q36" s="46">
        <f t="shared" si="7"/>
        <v>6683620.7699999996</v>
      </c>
    </row>
    <row r="37" spans="1:17" ht="105">
      <c r="A37" s="42"/>
      <c r="B37" s="52"/>
      <c r="C37" s="42" t="s">
        <v>38</v>
      </c>
      <c r="D37" s="50" t="s">
        <v>20</v>
      </c>
      <c r="E37" s="82">
        <v>24</v>
      </c>
      <c r="F37" s="82" t="s">
        <v>47</v>
      </c>
      <c r="G37" s="82" t="s">
        <v>47</v>
      </c>
      <c r="H37" s="46">
        <v>136848.89000000001</v>
      </c>
      <c r="I37" s="46">
        <v>11762.02</v>
      </c>
      <c r="J37" s="46">
        <v>27113.69</v>
      </c>
      <c r="K37" s="46">
        <f t="shared" si="2"/>
        <v>175724.6</v>
      </c>
      <c r="L37" s="46">
        <f t="shared" si="14"/>
        <v>3284373.3600000003</v>
      </c>
      <c r="M37" s="46">
        <f t="shared" si="3"/>
        <v>282288.48</v>
      </c>
      <c r="N37" s="46">
        <f t="shared" si="4"/>
        <v>650728.55999999994</v>
      </c>
      <c r="O37" s="46">
        <f t="shared" si="5"/>
        <v>4217390.4000000004</v>
      </c>
      <c r="P37" s="46">
        <f t="shared" si="6"/>
        <v>12652171.200000001</v>
      </c>
      <c r="Q37" s="46">
        <f t="shared" si="7"/>
        <v>12652171.200000001</v>
      </c>
    </row>
    <row r="38" spans="1:17" ht="120">
      <c r="A38" s="42"/>
      <c r="B38" s="44" t="s">
        <v>24</v>
      </c>
      <c r="C38" s="64" t="s">
        <v>162</v>
      </c>
      <c r="D38" s="50" t="s">
        <v>20</v>
      </c>
      <c r="E38" s="82">
        <v>81</v>
      </c>
      <c r="F38" s="82"/>
      <c r="G38" s="82"/>
      <c r="H38" s="46">
        <v>48227.69</v>
      </c>
      <c r="I38" s="46" t="s">
        <v>163</v>
      </c>
      <c r="J38" s="46" t="s">
        <v>164</v>
      </c>
      <c r="K38" s="46">
        <f t="shared" si="2"/>
        <v>87103.400000000009</v>
      </c>
      <c r="L38" s="46">
        <f t="shared" si="14"/>
        <v>3906442.89</v>
      </c>
      <c r="M38" s="46">
        <f t="shared" si="3"/>
        <v>952723.62</v>
      </c>
      <c r="N38" s="46">
        <f t="shared" si="4"/>
        <v>2196208.8899999997</v>
      </c>
      <c r="O38" s="46">
        <f t="shared" si="5"/>
        <v>7055375.3999999994</v>
      </c>
      <c r="P38" s="46">
        <f t="shared" si="6"/>
        <v>0</v>
      </c>
      <c r="Q38" s="46">
        <f t="shared" si="7"/>
        <v>0</v>
      </c>
    </row>
    <row r="39" spans="1:17" ht="15">
      <c r="A39" s="44"/>
      <c r="B39" s="44" t="s">
        <v>28</v>
      </c>
      <c r="C39" s="44"/>
      <c r="D39" s="44" t="s">
        <v>20</v>
      </c>
      <c r="E39" s="82" t="s">
        <v>48</v>
      </c>
      <c r="F39" s="82" t="s">
        <v>48</v>
      </c>
      <c r="G39" s="82" t="s">
        <v>48</v>
      </c>
      <c r="H39" s="46" t="s">
        <v>23</v>
      </c>
      <c r="I39" s="46"/>
      <c r="J39" s="46">
        <v>25992.31</v>
      </c>
      <c r="K39" s="46">
        <f t="shared" si="2"/>
        <v>25992.31</v>
      </c>
      <c r="L39" s="46">
        <f t="shared" si="14"/>
        <v>0</v>
      </c>
      <c r="M39" s="46">
        <f t="shared" si="3"/>
        <v>0</v>
      </c>
      <c r="N39" s="46">
        <f t="shared" si="4"/>
        <v>5640331.2700000005</v>
      </c>
      <c r="O39" s="46">
        <f t="shared" si="5"/>
        <v>5640331.2700000005</v>
      </c>
      <c r="P39" s="46">
        <f t="shared" si="6"/>
        <v>5640331.2700000005</v>
      </c>
      <c r="Q39" s="46">
        <f t="shared" si="7"/>
        <v>5640331.2700000005</v>
      </c>
    </row>
    <row r="40" spans="1:17" ht="14.25">
      <c r="A40" s="66" t="s">
        <v>49</v>
      </c>
      <c r="B40" s="69"/>
      <c r="C40" s="69"/>
      <c r="D40" s="69"/>
      <c r="E40" s="84"/>
      <c r="F40" s="84"/>
      <c r="G40" s="84"/>
      <c r="H40" s="65"/>
      <c r="I40" s="65"/>
      <c r="J40" s="65"/>
      <c r="K40" s="65">
        <f t="shared" si="2"/>
        <v>0</v>
      </c>
      <c r="L40" s="65">
        <f>L41+L44</f>
        <v>3501499.5</v>
      </c>
      <c r="M40" s="65">
        <f t="shared" ref="M40:Q40" si="20">M41+M44</f>
        <v>1211488.06</v>
      </c>
      <c r="N40" s="65">
        <f t="shared" si="20"/>
        <v>5469918</v>
      </c>
      <c r="O40" s="65">
        <f t="shared" si="20"/>
        <v>10182905.560000001</v>
      </c>
      <c r="P40" s="65">
        <f t="shared" si="20"/>
        <v>10749757.529999999</v>
      </c>
      <c r="Q40" s="65">
        <f t="shared" si="20"/>
        <v>10749757.529999999</v>
      </c>
    </row>
    <row r="41" spans="1:17" ht="85.5">
      <c r="A41" s="42"/>
      <c r="B41" s="47" t="s">
        <v>76</v>
      </c>
      <c r="C41" s="47"/>
      <c r="D41" s="52"/>
      <c r="E41" s="83"/>
      <c r="F41" s="83"/>
      <c r="G41" s="83"/>
      <c r="H41" s="46"/>
      <c r="I41" s="46"/>
      <c r="J41" s="46"/>
      <c r="K41" s="46">
        <f t="shared" si="2"/>
        <v>0</v>
      </c>
      <c r="L41" s="46">
        <f>SUM(L42:L43)</f>
        <v>3501499.5</v>
      </c>
      <c r="M41" s="46">
        <f t="shared" ref="M41:Q41" si="21">SUM(M42:M43)</f>
        <v>1211488.06</v>
      </c>
      <c r="N41" s="46">
        <f t="shared" si="21"/>
        <v>2792710.07</v>
      </c>
      <c r="O41" s="46">
        <f t="shared" si="21"/>
        <v>7505697.6299999999</v>
      </c>
      <c r="P41" s="46">
        <f t="shared" si="21"/>
        <v>7942588.0499999998</v>
      </c>
      <c r="Q41" s="46">
        <f t="shared" si="21"/>
        <v>7942588.0499999998</v>
      </c>
    </row>
    <row r="42" spans="1:17" ht="105">
      <c r="A42" s="42"/>
      <c r="B42" s="44" t="s">
        <v>19</v>
      </c>
      <c r="C42" s="42" t="s">
        <v>0</v>
      </c>
      <c r="D42" s="50" t="s">
        <v>20</v>
      </c>
      <c r="E42" s="82">
        <v>12</v>
      </c>
      <c r="F42" s="82" t="s">
        <v>50</v>
      </c>
      <c r="G42" s="82" t="s">
        <v>50</v>
      </c>
      <c r="H42" s="46">
        <v>41608.51</v>
      </c>
      <c r="I42" s="46">
        <v>11762.02</v>
      </c>
      <c r="J42" s="46">
        <v>27113.69</v>
      </c>
      <c r="K42" s="46">
        <f t="shared" si="2"/>
        <v>80484.22</v>
      </c>
      <c r="L42" s="46">
        <f t="shared" si="14"/>
        <v>499302.12</v>
      </c>
      <c r="M42" s="46">
        <f t="shared" si="3"/>
        <v>141144.24</v>
      </c>
      <c r="N42" s="46">
        <f t="shared" si="4"/>
        <v>325364.27999999997</v>
      </c>
      <c r="O42" s="46">
        <f t="shared" si="5"/>
        <v>965810.6399999999</v>
      </c>
      <c r="P42" s="46">
        <f t="shared" si="6"/>
        <v>1690168.62</v>
      </c>
      <c r="Q42" s="46">
        <f t="shared" si="7"/>
        <v>1690168.62</v>
      </c>
    </row>
    <row r="43" spans="1:17" ht="15">
      <c r="A43" s="49"/>
      <c r="B43" s="44" t="s">
        <v>24</v>
      </c>
      <c r="C43" s="44"/>
      <c r="D43" s="44" t="s">
        <v>20</v>
      </c>
      <c r="E43" s="82">
        <v>91</v>
      </c>
      <c r="F43" s="82" t="s">
        <v>42</v>
      </c>
      <c r="G43" s="82" t="s">
        <v>42</v>
      </c>
      <c r="H43" s="46">
        <v>32991.18</v>
      </c>
      <c r="I43" s="46">
        <v>11762.02</v>
      </c>
      <c r="J43" s="46">
        <v>27113.69</v>
      </c>
      <c r="K43" s="46">
        <f t="shared" si="2"/>
        <v>71866.89</v>
      </c>
      <c r="L43" s="46">
        <f t="shared" si="14"/>
        <v>3002197.38</v>
      </c>
      <c r="M43" s="46">
        <f t="shared" si="3"/>
        <v>1070343.82</v>
      </c>
      <c r="N43" s="46">
        <f t="shared" si="4"/>
        <v>2467345.79</v>
      </c>
      <c r="O43" s="46">
        <f t="shared" si="5"/>
        <v>6539886.9900000002</v>
      </c>
      <c r="P43" s="46">
        <f t="shared" si="6"/>
        <v>6252419.4299999997</v>
      </c>
      <c r="Q43" s="46">
        <f t="shared" si="7"/>
        <v>6252419.4299999997</v>
      </c>
    </row>
    <row r="44" spans="1:17" ht="15">
      <c r="A44" s="44"/>
      <c r="B44" s="44" t="s">
        <v>28</v>
      </c>
      <c r="C44" s="44"/>
      <c r="D44" s="44" t="s">
        <v>20</v>
      </c>
      <c r="E44" s="82">
        <v>103</v>
      </c>
      <c r="F44" s="82" t="s">
        <v>52</v>
      </c>
      <c r="G44" s="82" t="s">
        <v>52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14"/>
        <v>0</v>
      </c>
      <c r="M44" s="46">
        <f t="shared" si="3"/>
        <v>0</v>
      </c>
      <c r="N44" s="46">
        <f t="shared" si="4"/>
        <v>2677207.9300000002</v>
      </c>
      <c r="O44" s="46">
        <f t="shared" si="5"/>
        <v>2677207.9300000002</v>
      </c>
      <c r="P44" s="46">
        <f t="shared" si="6"/>
        <v>2807169.48</v>
      </c>
      <c r="Q44" s="46">
        <f t="shared" si="7"/>
        <v>2807169.48</v>
      </c>
    </row>
    <row r="45" spans="1:17" ht="14.25">
      <c r="A45" s="66" t="s">
        <v>53</v>
      </c>
      <c r="B45" s="69"/>
      <c r="C45" s="69"/>
      <c r="D45" s="69"/>
      <c r="E45" s="84"/>
      <c r="F45" s="84"/>
      <c r="G45" s="84"/>
      <c r="H45" s="65"/>
      <c r="I45" s="65"/>
      <c r="J45" s="65"/>
      <c r="K45" s="65">
        <f t="shared" si="2"/>
        <v>0</v>
      </c>
      <c r="L45" s="65">
        <f>L46+L50</f>
        <v>6432377.0600000005</v>
      </c>
      <c r="M45" s="65">
        <f t="shared" ref="M45:Q45" si="22">M46+M50</f>
        <v>1917209.26</v>
      </c>
      <c r="N45" s="65">
        <f t="shared" si="22"/>
        <v>8656278</v>
      </c>
      <c r="O45" s="65">
        <f t="shared" si="22"/>
        <v>17005864.32</v>
      </c>
      <c r="P45" s="65">
        <f t="shared" si="22"/>
        <v>15032190.529999999</v>
      </c>
      <c r="Q45" s="65">
        <f t="shared" si="22"/>
        <v>15032190.529999999</v>
      </c>
    </row>
    <row r="46" spans="1:17" ht="85.5">
      <c r="A46" s="42"/>
      <c r="B46" s="47" t="s">
        <v>76</v>
      </c>
      <c r="C46" s="47"/>
      <c r="D46" s="52"/>
      <c r="E46" s="83"/>
      <c r="F46" s="83"/>
      <c r="G46" s="83"/>
      <c r="H46" s="46"/>
      <c r="I46" s="46"/>
      <c r="J46" s="46"/>
      <c r="K46" s="46">
        <f t="shared" si="2"/>
        <v>0</v>
      </c>
      <c r="L46" s="46">
        <f>SUM(L47:L49)</f>
        <v>6432377.0600000005</v>
      </c>
      <c r="M46" s="46">
        <f t="shared" ref="M46:Q46" si="23">SUM(M47:M49)</f>
        <v>1917209.26</v>
      </c>
      <c r="N46" s="46">
        <f t="shared" si="23"/>
        <v>4419531.47</v>
      </c>
      <c r="O46" s="46">
        <f t="shared" si="23"/>
        <v>12769117.790000001</v>
      </c>
      <c r="P46" s="46">
        <f t="shared" si="23"/>
        <v>11133344.029999999</v>
      </c>
      <c r="Q46" s="46">
        <f t="shared" si="23"/>
        <v>11133344.029999999</v>
      </c>
    </row>
    <row r="47" spans="1:17" ht="105">
      <c r="A47" s="42"/>
      <c r="B47" s="44" t="s">
        <v>19</v>
      </c>
      <c r="C47" s="42" t="s">
        <v>0</v>
      </c>
      <c r="D47" s="50" t="s">
        <v>20</v>
      </c>
      <c r="E47" s="82">
        <v>34</v>
      </c>
      <c r="F47" s="82" t="s">
        <v>54</v>
      </c>
      <c r="G47" s="82" t="s">
        <v>54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 t="shared" si="14"/>
        <v>1414689.34</v>
      </c>
      <c r="M47" s="46">
        <f t="shared" si="3"/>
        <v>399908.68</v>
      </c>
      <c r="N47" s="46">
        <f t="shared" si="4"/>
        <v>921865.46</v>
      </c>
      <c r="O47" s="46">
        <f t="shared" si="5"/>
        <v>2736463.48</v>
      </c>
      <c r="P47" s="46">
        <f t="shared" si="6"/>
        <v>3299853.02</v>
      </c>
      <c r="Q47" s="46">
        <f t="shared" si="7"/>
        <v>3299853.02</v>
      </c>
    </row>
    <row r="48" spans="1:17" ht="15">
      <c r="A48" s="49"/>
      <c r="B48" s="44" t="s">
        <v>24</v>
      </c>
      <c r="C48" s="44"/>
      <c r="D48" s="44" t="s">
        <v>20</v>
      </c>
      <c r="E48" s="82">
        <v>79</v>
      </c>
      <c r="F48" s="82" t="s">
        <v>55</v>
      </c>
      <c r="G48" s="82" t="s">
        <v>55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 t="shared" si="14"/>
        <v>2606303.2200000002</v>
      </c>
      <c r="M48" s="46">
        <f t="shared" si="3"/>
        <v>929199.58000000007</v>
      </c>
      <c r="N48" s="46">
        <f t="shared" si="4"/>
        <v>2141981.5099999998</v>
      </c>
      <c r="O48" s="46">
        <f t="shared" si="5"/>
        <v>5677484.3100000005</v>
      </c>
      <c r="P48" s="46">
        <f t="shared" si="6"/>
        <v>7833491.0099999998</v>
      </c>
      <c r="Q48" s="46">
        <f t="shared" si="7"/>
        <v>7833491.0099999998</v>
      </c>
    </row>
    <row r="49" spans="1:17" ht="120">
      <c r="A49" s="49"/>
      <c r="B49" s="44" t="s">
        <v>24</v>
      </c>
      <c r="C49" s="64" t="s">
        <v>162</v>
      </c>
      <c r="D49" s="50" t="s">
        <v>20</v>
      </c>
      <c r="E49" s="82">
        <v>50</v>
      </c>
      <c r="F49" s="82"/>
      <c r="G49" s="82"/>
      <c r="H49" s="46">
        <v>48227.69</v>
      </c>
      <c r="I49" s="46" t="s">
        <v>163</v>
      </c>
      <c r="J49" s="46" t="s">
        <v>164</v>
      </c>
      <c r="K49" s="46">
        <f t="shared" ref="K49" si="24">H49+I49+J49</f>
        <v>87103.400000000009</v>
      </c>
      <c r="L49" s="46">
        <f t="shared" si="14"/>
        <v>2411384.5</v>
      </c>
      <c r="M49" s="46">
        <f t="shared" si="3"/>
        <v>588101</v>
      </c>
      <c r="N49" s="46">
        <f t="shared" si="4"/>
        <v>1355684.5</v>
      </c>
      <c r="O49" s="46">
        <f t="shared" si="5"/>
        <v>4355170</v>
      </c>
      <c r="P49" s="46">
        <f t="shared" si="6"/>
        <v>0</v>
      </c>
      <c r="Q49" s="46">
        <f t="shared" si="7"/>
        <v>0</v>
      </c>
    </row>
    <row r="50" spans="1:17" ht="15">
      <c r="A50" s="44"/>
      <c r="B50" s="44" t="s">
        <v>28</v>
      </c>
      <c r="C50" s="44"/>
      <c r="D50" s="44" t="s">
        <v>20</v>
      </c>
      <c r="E50" s="82">
        <v>163</v>
      </c>
      <c r="F50" s="82" t="s">
        <v>56</v>
      </c>
      <c r="G50" s="82" t="s">
        <v>56</v>
      </c>
      <c r="H50" s="46" t="s">
        <v>23</v>
      </c>
      <c r="I50" s="46"/>
      <c r="J50" s="46">
        <v>25992.31</v>
      </c>
      <c r="K50" s="46">
        <f t="shared" si="2"/>
        <v>25992.31</v>
      </c>
      <c r="L50" s="46">
        <f t="shared" si="14"/>
        <v>0</v>
      </c>
      <c r="M50" s="46">
        <f t="shared" si="3"/>
        <v>0</v>
      </c>
      <c r="N50" s="46">
        <f t="shared" si="4"/>
        <v>4236746.53</v>
      </c>
      <c r="O50" s="46">
        <f t="shared" si="5"/>
        <v>4236746.53</v>
      </c>
      <c r="P50" s="46">
        <f t="shared" si="6"/>
        <v>3898846.5</v>
      </c>
      <c r="Q50" s="46">
        <f t="shared" si="7"/>
        <v>3898846.5</v>
      </c>
    </row>
    <row r="51" spans="1:17" ht="14.25">
      <c r="A51" s="66" t="s">
        <v>57</v>
      </c>
      <c r="B51" s="69"/>
      <c r="C51" s="69"/>
      <c r="D51" s="69"/>
      <c r="E51" s="84"/>
      <c r="F51" s="84"/>
      <c r="G51" s="84"/>
      <c r="H51" s="65"/>
      <c r="I51" s="65"/>
      <c r="J51" s="65"/>
      <c r="K51" s="65">
        <f t="shared" si="2"/>
        <v>0</v>
      </c>
      <c r="L51" s="65">
        <f>L52+L56</f>
        <v>3955038.4899999998</v>
      </c>
      <c r="M51" s="65">
        <f t="shared" ref="M51:Q51" si="25">M52+M56</f>
        <v>1317346.24</v>
      </c>
      <c r="N51" s="65">
        <f t="shared" si="25"/>
        <v>5947870.8799999999</v>
      </c>
      <c r="O51" s="65">
        <f t="shared" si="25"/>
        <v>11220255.609999999</v>
      </c>
      <c r="P51" s="65">
        <f t="shared" si="25"/>
        <v>11355221.609999999</v>
      </c>
      <c r="Q51" s="65">
        <f t="shared" si="25"/>
        <v>11355221.609999999</v>
      </c>
    </row>
    <row r="52" spans="1:17" ht="85.5">
      <c r="A52" s="42"/>
      <c r="B52" s="47" t="s">
        <v>76</v>
      </c>
      <c r="C52" s="47"/>
      <c r="D52" s="52"/>
      <c r="E52" s="83"/>
      <c r="F52" s="83"/>
      <c r="G52" s="83"/>
      <c r="H52" s="46"/>
      <c r="I52" s="46"/>
      <c r="J52" s="46"/>
      <c r="K52" s="46">
        <f t="shared" si="2"/>
        <v>0</v>
      </c>
      <c r="L52" s="46">
        <f>SUM(L53:L55)</f>
        <v>3955038.4899999998</v>
      </c>
      <c r="M52" s="46">
        <f t="shared" ref="M52:Q52" si="26">SUM(M53:M55)</f>
        <v>1317346.24</v>
      </c>
      <c r="N52" s="46">
        <f t="shared" si="26"/>
        <v>3036732.1599999997</v>
      </c>
      <c r="O52" s="46">
        <f t="shared" si="26"/>
        <v>8309116.8899999997</v>
      </c>
      <c r="P52" s="46">
        <f t="shared" si="26"/>
        <v>8418090.5800000001</v>
      </c>
      <c r="Q52" s="46">
        <f t="shared" si="26"/>
        <v>8418090.5800000001</v>
      </c>
    </row>
    <row r="53" spans="1:17" ht="105">
      <c r="A53" s="42"/>
      <c r="B53" s="44" t="s">
        <v>19</v>
      </c>
      <c r="C53" s="42" t="s">
        <v>0</v>
      </c>
      <c r="D53" s="50" t="s">
        <v>20</v>
      </c>
      <c r="E53" s="82">
        <v>13</v>
      </c>
      <c r="F53" s="82" t="s">
        <v>58</v>
      </c>
      <c r="G53" s="82" t="s">
        <v>58</v>
      </c>
      <c r="H53" s="46">
        <v>41608.51</v>
      </c>
      <c r="I53" s="46">
        <v>11762.02</v>
      </c>
      <c r="J53" s="46" t="s">
        <v>82</v>
      </c>
      <c r="K53" s="46">
        <f t="shared" si="2"/>
        <v>80484.209999999992</v>
      </c>
      <c r="L53" s="46">
        <f t="shared" si="14"/>
        <v>540910.63</v>
      </c>
      <c r="M53" s="46">
        <f t="shared" si="3"/>
        <v>152906.26</v>
      </c>
      <c r="N53" s="46">
        <f t="shared" si="4"/>
        <v>352477.84</v>
      </c>
      <c r="O53" s="46">
        <f t="shared" si="5"/>
        <v>1046294.73</v>
      </c>
      <c r="P53" s="46">
        <f t="shared" si="6"/>
        <v>1448715.7799999998</v>
      </c>
      <c r="Q53" s="46">
        <f t="shared" si="7"/>
        <v>1448715.7799999998</v>
      </c>
    </row>
    <row r="54" spans="1:17" ht="15">
      <c r="A54" s="49"/>
      <c r="B54" s="44" t="s">
        <v>24</v>
      </c>
      <c r="C54" s="44"/>
      <c r="D54" s="44" t="s">
        <v>20</v>
      </c>
      <c r="E54" s="82">
        <v>99</v>
      </c>
      <c r="F54" s="82" t="s">
        <v>59</v>
      </c>
      <c r="G54" s="82" t="s">
        <v>59</v>
      </c>
      <c r="H54" s="46">
        <v>32991.18</v>
      </c>
      <c r="I54" s="46">
        <v>11762.02</v>
      </c>
      <c r="J54" s="46" t="s">
        <v>82</v>
      </c>
      <c r="K54" s="46">
        <f t="shared" si="2"/>
        <v>71866.880000000005</v>
      </c>
      <c r="L54" s="46">
        <f t="shared" si="14"/>
        <v>3266126.82</v>
      </c>
      <c r="M54" s="46">
        <f t="shared" si="3"/>
        <v>1164439.98</v>
      </c>
      <c r="N54" s="46">
        <f t="shared" si="4"/>
        <v>2684254.3199999998</v>
      </c>
      <c r="O54" s="46">
        <f t="shared" si="5"/>
        <v>7114821.1199999992</v>
      </c>
      <c r="P54" s="46">
        <f t="shared" si="6"/>
        <v>6827353.6000000006</v>
      </c>
      <c r="Q54" s="46">
        <f t="shared" si="7"/>
        <v>6827353.6000000006</v>
      </c>
    </row>
    <row r="55" spans="1:17" ht="75">
      <c r="A55" s="42"/>
      <c r="B55" s="52"/>
      <c r="C55" s="42" t="s">
        <v>78</v>
      </c>
      <c r="D55" s="50" t="s">
        <v>20</v>
      </c>
      <c r="E55" s="82">
        <v>99</v>
      </c>
      <c r="F55" s="82" t="s">
        <v>59</v>
      </c>
      <c r="G55" s="82" t="s">
        <v>59</v>
      </c>
      <c r="H55" s="46">
        <v>1494.96</v>
      </c>
      <c r="I55" s="46"/>
      <c r="J55" s="46"/>
      <c r="K55" s="46">
        <f t="shared" si="2"/>
        <v>1494.96</v>
      </c>
      <c r="L55" s="46">
        <f t="shared" si="14"/>
        <v>148001.04</v>
      </c>
      <c r="M55" s="46">
        <f t="shared" si="3"/>
        <v>0</v>
      </c>
      <c r="N55" s="46">
        <f t="shared" si="4"/>
        <v>0</v>
      </c>
      <c r="O55" s="46">
        <f t="shared" si="5"/>
        <v>148001.04</v>
      </c>
      <c r="P55" s="46">
        <f t="shared" si="6"/>
        <v>142021.20000000001</v>
      </c>
      <c r="Q55" s="46">
        <f t="shared" si="7"/>
        <v>142021.20000000001</v>
      </c>
    </row>
    <row r="56" spans="1:17" ht="15">
      <c r="A56" s="44"/>
      <c r="B56" s="44" t="s">
        <v>28</v>
      </c>
      <c r="C56" s="44"/>
      <c r="D56" s="44" t="s">
        <v>20</v>
      </c>
      <c r="E56" s="82">
        <v>112</v>
      </c>
      <c r="F56" s="82" t="s">
        <v>60</v>
      </c>
      <c r="G56" s="82" t="s">
        <v>60</v>
      </c>
      <c r="H56" s="46" t="s">
        <v>23</v>
      </c>
      <c r="I56" s="46"/>
      <c r="J56" s="46">
        <v>25992.31</v>
      </c>
      <c r="K56" s="46">
        <f t="shared" si="2"/>
        <v>25992.31</v>
      </c>
      <c r="L56" s="46">
        <f t="shared" si="14"/>
        <v>0</v>
      </c>
      <c r="M56" s="46">
        <f t="shared" si="3"/>
        <v>0</v>
      </c>
      <c r="N56" s="46">
        <f t="shared" si="4"/>
        <v>2911138.72</v>
      </c>
      <c r="O56" s="46">
        <f t="shared" si="5"/>
        <v>2911138.72</v>
      </c>
      <c r="P56" s="46">
        <f t="shared" si="6"/>
        <v>2937131.0300000003</v>
      </c>
      <c r="Q56" s="46">
        <f t="shared" si="7"/>
        <v>2937131.0300000003</v>
      </c>
    </row>
    <row r="57" spans="1:17" ht="14.25">
      <c r="A57" s="66" t="s">
        <v>61</v>
      </c>
      <c r="B57" s="69"/>
      <c r="C57" s="69"/>
      <c r="D57" s="69"/>
      <c r="E57" s="84"/>
      <c r="F57" s="84"/>
      <c r="G57" s="84"/>
      <c r="H57" s="65"/>
      <c r="I57" s="65"/>
      <c r="J57" s="65"/>
      <c r="K57" s="65">
        <f t="shared" si="2"/>
        <v>0</v>
      </c>
      <c r="L57" s="65">
        <f>L58+L63</f>
        <v>8953064.3699999992</v>
      </c>
      <c r="M57" s="65">
        <f t="shared" ref="M57:Q57" si="27">M58+M63</f>
        <v>2717026.62</v>
      </c>
      <c r="N57" s="65">
        <f t="shared" si="27"/>
        <v>12267486</v>
      </c>
      <c r="O57" s="65">
        <f t="shared" si="27"/>
        <v>23937576.990000002</v>
      </c>
      <c r="P57" s="65">
        <f t="shared" si="27"/>
        <v>23668734.25</v>
      </c>
      <c r="Q57" s="65">
        <f t="shared" si="27"/>
        <v>23668734.25</v>
      </c>
    </row>
    <row r="58" spans="1:17" ht="85.5">
      <c r="A58" s="42"/>
      <c r="B58" s="47" t="s">
        <v>76</v>
      </c>
      <c r="C58" s="47"/>
      <c r="D58" s="52"/>
      <c r="E58" s="83"/>
      <c r="F58" s="83"/>
      <c r="G58" s="83"/>
      <c r="H58" s="46"/>
      <c r="I58" s="46"/>
      <c r="J58" s="46"/>
      <c r="K58" s="46">
        <f t="shared" si="2"/>
        <v>0</v>
      </c>
      <c r="L58" s="46">
        <f>SUM(L59:L62)</f>
        <v>8953064.3699999992</v>
      </c>
      <c r="M58" s="46">
        <f t="shared" ref="M58:Q58" si="28">SUM(M59:M62)</f>
        <v>2717026.62</v>
      </c>
      <c r="N58" s="46">
        <f t="shared" si="28"/>
        <v>6263262.3899999997</v>
      </c>
      <c r="O58" s="46">
        <f t="shared" si="28"/>
        <v>17933353.380000003</v>
      </c>
      <c r="P58" s="46">
        <f t="shared" si="28"/>
        <v>17560541.399999999</v>
      </c>
      <c r="Q58" s="46">
        <f t="shared" si="28"/>
        <v>17560541.399999999</v>
      </c>
    </row>
    <row r="59" spans="1:17" ht="105">
      <c r="A59" s="42"/>
      <c r="B59" s="44" t="s">
        <v>19</v>
      </c>
      <c r="C59" s="42" t="s">
        <v>0</v>
      </c>
      <c r="D59" s="50" t="s">
        <v>20</v>
      </c>
      <c r="E59" s="82">
        <v>38</v>
      </c>
      <c r="F59" s="82" t="s">
        <v>62</v>
      </c>
      <c r="G59" s="82" t="s">
        <v>62</v>
      </c>
      <c r="H59" s="46">
        <v>41608.51</v>
      </c>
      <c r="I59" s="46">
        <v>11762.02</v>
      </c>
      <c r="J59" s="46">
        <v>27113.69</v>
      </c>
      <c r="K59" s="46">
        <f t="shared" si="2"/>
        <v>80484.22</v>
      </c>
      <c r="L59" s="46">
        <f t="shared" si="14"/>
        <v>1581123.3800000001</v>
      </c>
      <c r="M59" s="46">
        <f t="shared" si="3"/>
        <v>446956.76</v>
      </c>
      <c r="N59" s="46">
        <f t="shared" si="4"/>
        <v>1030320.22</v>
      </c>
      <c r="O59" s="46">
        <f t="shared" si="5"/>
        <v>3058400.3600000003</v>
      </c>
      <c r="P59" s="46">
        <f t="shared" si="6"/>
        <v>3621789.9</v>
      </c>
      <c r="Q59" s="46">
        <f t="shared" si="7"/>
        <v>3621789.9</v>
      </c>
    </row>
    <row r="60" spans="1:17" ht="15">
      <c r="A60" s="49"/>
      <c r="B60" s="44" t="s">
        <v>24</v>
      </c>
      <c r="C60" s="44"/>
      <c r="D60" s="44" t="s">
        <v>20</v>
      </c>
      <c r="E60" s="82">
        <v>146</v>
      </c>
      <c r="F60" s="82" t="s">
        <v>63</v>
      </c>
      <c r="G60" s="82" t="s">
        <v>63</v>
      </c>
      <c r="H60" s="46">
        <v>32991.18</v>
      </c>
      <c r="I60" s="46">
        <v>11762.02</v>
      </c>
      <c r="J60" s="46">
        <v>27113.69</v>
      </c>
      <c r="K60" s="46">
        <f t="shared" si="2"/>
        <v>71866.89</v>
      </c>
      <c r="L60" s="46">
        <f t="shared" si="14"/>
        <v>4816712.28</v>
      </c>
      <c r="M60" s="46">
        <f t="shared" si="3"/>
        <v>1717254.9200000002</v>
      </c>
      <c r="N60" s="46">
        <f t="shared" si="4"/>
        <v>3958598.7399999998</v>
      </c>
      <c r="O60" s="46">
        <f t="shared" si="5"/>
        <v>10492565.939999999</v>
      </c>
      <c r="P60" s="46">
        <f t="shared" si="6"/>
        <v>13654709.1</v>
      </c>
      <c r="Q60" s="46">
        <f t="shared" si="7"/>
        <v>13654709.1</v>
      </c>
    </row>
    <row r="61" spans="1:17" ht="120">
      <c r="A61" s="49"/>
      <c r="B61" s="44" t="s">
        <v>24</v>
      </c>
      <c r="C61" s="64" t="s">
        <v>162</v>
      </c>
      <c r="D61" s="50" t="s">
        <v>20</v>
      </c>
      <c r="E61" s="82">
        <v>47</v>
      </c>
      <c r="F61" s="82"/>
      <c r="G61" s="82"/>
      <c r="H61" s="46">
        <v>48227.69</v>
      </c>
      <c r="I61" s="46" t="s">
        <v>163</v>
      </c>
      <c r="J61" s="46" t="s">
        <v>164</v>
      </c>
      <c r="K61" s="46">
        <f t="shared" si="2"/>
        <v>87103.400000000009</v>
      </c>
      <c r="L61" s="46">
        <f t="shared" si="14"/>
        <v>2266701.4300000002</v>
      </c>
      <c r="M61" s="46">
        <f t="shared" si="3"/>
        <v>552814.94000000006</v>
      </c>
      <c r="N61" s="46">
        <f t="shared" si="4"/>
        <v>1274343.43</v>
      </c>
      <c r="O61" s="46">
        <f t="shared" si="5"/>
        <v>4093859.8</v>
      </c>
      <c r="P61" s="46">
        <f t="shared" si="6"/>
        <v>0</v>
      </c>
      <c r="Q61" s="46">
        <f t="shared" si="7"/>
        <v>0</v>
      </c>
    </row>
    <row r="62" spans="1:17" ht="75">
      <c r="A62" s="42"/>
      <c r="B62" s="52"/>
      <c r="C62" s="42" t="s">
        <v>78</v>
      </c>
      <c r="D62" s="50" t="s">
        <v>20</v>
      </c>
      <c r="E62" s="82">
        <v>193</v>
      </c>
      <c r="F62" s="82" t="s">
        <v>63</v>
      </c>
      <c r="G62" s="82" t="s">
        <v>63</v>
      </c>
      <c r="H62" s="46">
        <v>1494.96</v>
      </c>
      <c r="I62" s="46"/>
      <c r="J62" s="46"/>
      <c r="K62" s="46">
        <f t="shared" si="2"/>
        <v>1494.96</v>
      </c>
      <c r="L62" s="46">
        <f t="shared" si="14"/>
        <v>288527.28000000003</v>
      </c>
      <c r="M62" s="46">
        <f t="shared" ref="M62:M80" si="29">E62*I62</f>
        <v>0</v>
      </c>
      <c r="N62" s="46">
        <f t="shared" ref="N62:N80" si="30">E62*J62</f>
        <v>0</v>
      </c>
      <c r="O62" s="46">
        <f t="shared" ref="O62:O80" si="31">SUM(L62:N62)</f>
        <v>288527.28000000003</v>
      </c>
      <c r="P62" s="46">
        <f t="shared" ref="P62:P80" si="32">F62*K62</f>
        <v>284042.40000000002</v>
      </c>
      <c r="Q62" s="46">
        <f t="shared" ref="Q62:Q80" si="33">G62*K62</f>
        <v>284042.40000000002</v>
      </c>
    </row>
    <row r="63" spans="1:17" ht="15">
      <c r="A63" s="44"/>
      <c r="B63" s="44" t="s">
        <v>28</v>
      </c>
      <c r="C63" s="44"/>
      <c r="D63" s="44" t="s">
        <v>20</v>
      </c>
      <c r="E63" s="82">
        <v>231</v>
      </c>
      <c r="F63" s="82" t="s">
        <v>64</v>
      </c>
      <c r="G63" s="82" t="s">
        <v>64</v>
      </c>
      <c r="H63" s="46" t="s">
        <v>23</v>
      </c>
      <c r="I63" s="46"/>
      <c r="J63" s="46">
        <v>25992.31</v>
      </c>
      <c r="K63" s="46">
        <f t="shared" si="2"/>
        <v>25992.31</v>
      </c>
      <c r="L63" s="46">
        <f t="shared" si="14"/>
        <v>0</v>
      </c>
      <c r="M63" s="46">
        <f t="shared" si="29"/>
        <v>0</v>
      </c>
      <c r="N63" s="46">
        <f t="shared" si="30"/>
        <v>6004223.6100000003</v>
      </c>
      <c r="O63" s="46">
        <f t="shared" si="31"/>
        <v>6004223.6100000003</v>
      </c>
      <c r="P63" s="46">
        <f t="shared" si="32"/>
        <v>6108192.8500000006</v>
      </c>
      <c r="Q63" s="46">
        <f t="shared" si="33"/>
        <v>6108192.8500000006</v>
      </c>
    </row>
    <row r="64" spans="1:17" ht="14.25">
      <c r="A64" s="66" t="s">
        <v>65</v>
      </c>
      <c r="B64" s="69"/>
      <c r="C64" s="69"/>
      <c r="D64" s="69"/>
      <c r="E64" s="84"/>
      <c r="F64" s="84"/>
      <c r="G64" s="84"/>
      <c r="H64" s="65"/>
      <c r="I64" s="65"/>
      <c r="J64" s="65"/>
      <c r="K64" s="65">
        <f t="shared" si="2"/>
        <v>0</v>
      </c>
      <c r="L64" s="65">
        <f>L65+L68</f>
        <v>4740885.96</v>
      </c>
      <c r="M64" s="65">
        <f t="shared" ref="M64:Q64" si="34">M65+M68</f>
        <v>1634920.7800000003</v>
      </c>
      <c r="N64" s="65">
        <f t="shared" si="34"/>
        <v>7381734</v>
      </c>
      <c r="O64" s="65">
        <f t="shared" si="34"/>
        <v>13757540.739999998</v>
      </c>
      <c r="P64" s="65">
        <f t="shared" si="34"/>
        <v>13967425.23</v>
      </c>
      <c r="Q64" s="65">
        <f t="shared" si="34"/>
        <v>13967425.23</v>
      </c>
    </row>
    <row r="65" spans="1:17" ht="85.5">
      <c r="A65" s="42"/>
      <c r="B65" s="47" t="s">
        <v>76</v>
      </c>
      <c r="C65" s="47"/>
      <c r="D65" s="52"/>
      <c r="E65" s="83"/>
      <c r="F65" s="83"/>
      <c r="G65" s="83"/>
      <c r="H65" s="46"/>
      <c r="I65" s="46"/>
      <c r="J65" s="46"/>
      <c r="K65" s="46">
        <f t="shared" ref="K65:K80" si="35">H65+I65+J65</f>
        <v>0</v>
      </c>
      <c r="L65" s="46">
        <f>SUM(L66:L67)</f>
        <v>4740885.96</v>
      </c>
      <c r="M65" s="46">
        <f t="shared" ref="M65:Q65" si="36">SUM(M66:M67)</f>
        <v>1634920.7800000003</v>
      </c>
      <c r="N65" s="46">
        <f t="shared" si="36"/>
        <v>3768802.9099999997</v>
      </c>
      <c r="O65" s="46">
        <f t="shared" si="36"/>
        <v>10144609.649999999</v>
      </c>
      <c r="P65" s="46">
        <f t="shared" si="36"/>
        <v>10328501.83</v>
      </c>
      <c r="Q65" s="46">
        <f t="shared" si="36"/>
        <v>10328501.83</v>
      </c>
    </row>
    <row r="66" spans="1:17" ht="105">
      <c r="A66" s="42"/>
      <c r="B66" s="44" t="s">
        <v>19</v>
      </c>
      <c r="C66" s="42" t="s">
        <v>0</v>
      </c>
      <c r="D66" s="44" t="s">
        <v>20</v>
      </c>
      <c r="E66" s="82">
        <v>18</v>
      </c>
      <c r="F66" s="82" t="s">
        <v>66</v>
      </c>
      <c r="G66" s="82" t="s">
        <v>66</v>
      </c>
      <c r="H66" s="46">
        <v>41608.51</v>
      </c>
      <c r="I66" s="46">
        <v>11762.02</v>
      </c>
      <c r="J66" s="46">
        <v>27113.69</v>
      </c>
      <c r="K66" s="46">
        <f t="shared" si="35"/>
        <v>80484.22</v>
      </c>
      <c r="L66" s="46">
        <f t="shared" si="14"/>
        <v>748953.18</v>
      </c>
      <c r="M66" s="46">
        <f t="shared" si="29"/>
        <v>211716.36000000002</v>
      </c>
      <c r="N66" s="46">
        <f t="shared" si="30"/>
        <v>488046.42</v>
      </c>
      <c r="O66" s="46">
        <f t="shared" si="31"/>
        <v>1448715.96</v>
      </c>
      <c r="P66" s="46">
        <f t="shared" si="32"/>
        <v>2495010.8199999998</v>
      </c>
      <c r="Q66" s="46">
        <f t="shared" si="33"/>
        <v>2495010.8199999998</v>
      </c>
    </row>
    <row r="67" spans="1:17" ht="15">
      <c r="A67" s="49"/>
      <c r="B67" s="44" t="s">
        <v>24</v>
      </c>
      <c r="C67" s="44"/>
      <c r="D67" s="44" t="s">
        <v>20</v>
      </c>
      <c r="E67" s="82">
        <v>121</v>
      </c>
      <c r="F67" s="82" t="s">
        <v>55</v>
      </c>
      <c r="G67" s="82" t="s">
        <v>55</v>
      </c>
      <c r="H67" s="46">
        <v>32991.18</v>
      </c>
      <c r="I67" s="46">
        <v>11762.02</v>
      </c>
      <c r="J67" s="46">
        <v>27113.69</v>
      </c>
      <c r="K67" s="46">
        <f t="shared" si="35"/>
        <v>71866.89</v>
      </c>
      <c r="L67" s="46">
        <f t="shared" si="14"/>
        <v>3991932.7800000003</v>
      </c>
      <c r="M67" s="46">
        <f t="shared" si="29"/>
        <v>1423204.4200000002</v>
      </c>
      <c r="N67" s="46">
        <f t="shared" si="30"/>
        <v>3280756.4899999998</v>
      </c>
      <c r="O67" s="46">
        <f t="shared" si="31"/>
        <v>8695893.6899999995</v>
      </c>
      <c r="P67" s="46">
        <f t="shared" si="32"/>
        <v>7833491.0099999998</v>
      </c>
      <c r="Q67" s="46">
        <f t="shared" si="33"/>
        <v>7833491.0099999998</v>
      </c>
    </row>
    <row r="68" spans="1:17" ht="15">
      <c r="A68" s="44"/>
      <c r="B68" s="44" t="s">
        <v>28</v>
      </c>
      <c r="C68" s="44"/>
      <c r="D68" s="44" t="s">
        <v>20</v>
      </c>
      <c r="E68" s="82">
        <v>139</v>
      </c>
      <c r="F68" s="82" t="s">
        <v>67</v>
      </c>
      <c r="G68" s="82" t="s">
        <v>67</v>
      </c>
      <c r="H68" s="46" t="s">
        <v>23</v>
      </c>
      <c r="I68" s="46"/>
      <c r="J68" s="46">
        <v>25992.31</v>
      </c>
      <c r="K68" s="46">
        <f t="shared" si="35"/>
        <v>25992.31</v>
      </c>
      <c r="L68" s="46">
        <f t="shared" si="14"/>
        <v>0</v>
      </c>
      <c r="M68" s="46">
        <f t="shared" si="29"/>
        <v>0</v>
      </c>
      <c r="N68" s="46">
        <f t="shared" si="30"/>
        <v>3612931.0900000003</v>
      </c>
      <c r="O68" s="46">
        <f t="shared" si="31"/>
        <v>3612931.0900000003</v>
      </c>
      <c r="P68" s="46">
        <f t="shared" si="32"/>
        <v>3638923.4000000004</v>
      </c>
      <c r="Q68" s="46">
        <f t="shared" si="33"/>
        <v>3638923.4000000004</v>
      </c>
    </row>
    <row r="69" spans="1:17" ht="14.25">
      <c r="A69" s="66" t="s">
        <v>68</v>
      </c>
      <c r="B69" s="69"/>
      <c r="C69" s="69"/>
      <c r="D69" s="69"/>
      <c r="E69" s="84"/>
      <c r="F69" s="84"/>
      <c r="G69" s="84"/>
      <c r="H69" s="65"/>
      <c r="I69" s="65"/>
      <c r="J69" s="65"/>
      <c r="K69" s="65">
        <f t="shared" si="35"/>
        <v>0</v>
      </c>
      <c r="L69" s="65">
        <f>L70+L74</f>
        <v>5146692.57</v>
      </c>
      <c r="M69" s="65">
        <f t="shared" ref="M69:Q69" si="37">M70+M74</f>
        <v>1658444.82</v>
      </c>
      <c r="N69" s="65">
        <f t="shared" si="37"/>
        <v>7487946</v>
      </c>
      <c r="O69" s="65">
        <f t="shared" si="37"/>
        <v>14293083.390000001</v>
      </c>
      <c r="P69" s="65">
        <f t="shared" si="37"/>
        <v>13941573.24</v>
      </c>
      <c r="Q69" s="65">
        <f t="shared" si="37"/>
        <v>13941573.24</v>
      </c>
    </row>
    <row r="70" spans="1:17" ht="85.5">
      <c r="A70" s="42"/>
      <c r="B70" s="47" t="s">
        <v>76</v>
      </c>
      <c r="C70" s="47"/>
      <c r="D70" s="52"/>
      <c r="E70" s="83"/>
      <c r="F70" s="83"/>
      <c r="G70" s="83"/>
      <c r="H70" s="46"/>
      <c r="I70" s="46"/>
      <c r="J70" s="46"/>
      <c r="K70" s="46">
        <f t="shared" si="35"/>
        <v>0</v>
      </c>
      <c r="L70" s="46">
        <f>SUM(L71:L73)</f>
        <v>5146692.57</v>
      </c>
      <c r="M70" s="46">
        <f t="shared" ref="M70:Q70" si="38">SUM(M71:M73)</f>
        <v>1658444.82</v>
      </c>
      <c r="N70" s="46">
        <f t="shared" si="38"/>
        <v>3823030.29</v>
      </c>
      <c r="O70" s="46">
        <f t="shared" si="38"/>
        <v>10628167.68</v>
      </c>
      <c r="P70" s="46">
        <f t="shared" si="38"/>
        <v>10302649.84</v>
      </c>
      <c r="Q70" s="46">
        <f t="shared" si="38"/>
        <v>10302649.84</v>
      </c>
    </row>
    <row r="71" spans="1:17" ht="105">
      <c r="A71" s="42"/>
      <c r="B71" s="44" t="s">
        <v>19</v>
      </c>
      <c r="C71" s="42" t="s">
        <v>0</v>
      </c>
      <c r="D71" s="50" t="s">
        <v>20</v>
      </c>
      <c r="E71" s="82">
        <v>15</v>
      </c>
      <c r="F71" s="82" t="s">
        <v>69</v>
      </c>
      <c r="G71" s="82" t="s">
        <v>69</v>
      </c>
      <c r="H71" s="46">
        <v>41608.51</v>
      </c>
      <c r="I71" s="46">
        <v>11762.02</v>
      </c>
      <c r="J71" s="46">
        <v>27113.69</v>
      </c>
      <c r="K71" s="46">
        <f t="shared" si="35"/>
        <v>80484.22</v>
      </c>
      <c r="L71" s="46">
        <f t="shared" ref="L71:L80" si="39">E71*H71</f>
        <v>624127.65</v>
      </c>
      <c r="M71" s="46">
        <f t="shared" si="29"/>
        <v>176430.30000000002</v>
      </c>
      <c r="N71" s="46">
        <f t="shared" si="30"/>
        <v>406705.35</v>
      </c>
      <c r="O71" s="46">
        <f t="shared" si="31"/>
        <v>1207263.3</v>
      </c>
      <c r="P71" s="46">
        <f t="shared" si="32"/>
        <v>2253558.16</v>
      </c>
      <c r="Q71" s="46">
        <f t="shared" si="33"/>
        <v>2253558.16</v>
      </c>
    </row>
    <row r="72" spans="1:17" ht="15">
      <c r="A72" s="49"/>
      <c r="B72" s="44" t="s">
        <v>24</v>
      </c>
      <c r="C72" s="44"/>
      <c r="D72" s="44" t="s">
        <v>20</v>
      </c>
      <c r="E72" s="82">
        <v>102</v>
      </c>
      <c r="F72" s="82" t="s">
        <v>70</v>
      </c>
      <c r="G72" s="82" t="s">
        <v>70</v>
      </c>
      <c r="H72" s="46">
        <v>32991.18</v>
      </c>
      <c r="I72" s="46">
        <v>11762.02</v>
      </c>
      <c r="J72" s="46">
        <v>27113.69</v>
      </c>
      <c r="K72" s="46">
        <f t="shared" si="35"/>
        <v>71866.89</v>
      </c>
      <c r="L72" s="46">
        <f t="shared" si="39"/>
        <v>3365100.36</v>
      </c>
      <c r="M72" s="46">
        <f t="shared" si="29"/>
        <v>1199726.04</v>
      </c>
      <c r="N72" s="46">
        <f t="shared" si="30"/>
        <v>2765596.38</v>
      </c>
      <c r="O72" s="46">
        <f t="shared" si="31"/>
        <v>7330422.7800000003</v>
      </c>
      <c r="P72" s="46">
        <f t="shared" si="32"/>
        <v>8049091.6799999997</v>
      </c>
      <c r="Q72" s="46">
        <f t="shared" si="33"/>
        <v>8049091.6799999997</v>
      </c>
    </row>
    <row r="73" spans="1:17" ht="120">
      <c r="A73" s="49"/>
      <c r="B73" s="44" t="s">
        <v>24</v>
      </c>
      <c r="C73" s="64" t="s">
        <v>162</v>
      </c>
      <c r="D73" s="50" t="s">
        <v>20</v>
      </c>
      <c r="E73" s="82">
        <v>24</v>
      </c>
      <c r="F73" s="82"/>
      <c r="G73" s="82"/>
      <c r="H73" s="46">
        <v>48227.69</v>
      </c>
      <c r="I73" s="46" t="s">
        <v>163</v>
      </c>
      <c r="J73" s="46" t="s">
        <v>164</v>
      </c>
      <c r="K73" s="46">
        <f t="shared" si="35"/>
        <v>87103.400000000009</v>
      </c>
      <c r="L73" s="46">
        <f t="shared" si="39"/>
        <v>1157464.56</v>
      </c>
      <c r="M73" s="46">
        <f t="shared" si="29"/>
        <v>282288.48</v>
      </c>
      <c r="N73" s="46">
        <f t="shared" si="30"/>
        <v>650728.55999999994</v>
      </c>
      <c r="O73" s="46">
        <f t="shared" si="31"/>
        <v>2090481.6</v>
      </c>
      <c r="P73" s="46">
        <f t="shared" si="32"/>
        <v>0</v>
      </c>
      <c r="Q73" s="46">
        <f t="shared" si="33"/>
        <v>0</v>
      </c>
    </row>
    <row r="74" spans="1:17" ht="15">
      <c r="A74" s="44"/>
      <c r="B74" s="44" t="s">
        <v>28</v>
      </c>
      <c r="C74" s="44"/>
      <c r="D74" s="44" t="s">
        <v>20</v>
      </c>
      <c r="E74" s="82">
        <v>141</v>
      </c>
      <c r="F74" s="82" t="s">
        <v>67</v>
      </c>
      <c r="G74" s="82" t="s">
        <v>67</v>
      </c>
      <c r="H74" s="46" t="s">
        <v>23</v>
      </c>
      <c r="I74" s="46"/>
      <c r="J74" s="46">
        <v>25992.31</v>
      </c>
      <c r="K74" s="46">
        <f t="shared" si="35"/>
        <v>25992.31</v>
      </c>
      <c r="L74" s="46">
        <f t="shared" si="39"/>
        <v>0</v>
      </c>
      <c r="M74" s="46">
        <f t="shared" si="29"/>
        <v>0</v>
      </c>
      <c r="N74" s="46">
        <f t="shared" si="30"/>
        <v>3664915.71</v>
      </c>
      <c r="O74" s="46">
        <f t="shared" si="31"/>
        <v>3664915.71</v>
      </c>
      <c r="P74" s="46">
        <f t="shared" si="32"/>
        <v>3638923.4000000004</v>
      </c>
      <c r="Q74" s="46">
        <f t="shared" si="33"/>
        <v>3638923.4000000004</v>
      </c>
    </row>
    <row r="75" spans="1:17" s="70" customFormat="1" ht="14.25">
      <c r="A75" s="66" t="s">
        <v>71</v>
      </c>
      <c r="B75" s="69"/>
      <c r="C75" s="69"/>
      <c r="D75" s="69"/>
      <c r="E75" s="84"/>
      <c r="F75" s="84"/>
      <c r="G75" s="84"/>
      <c r="H75" s="65"/>
      <c r="I75" s="65"/>
      <c r="J75" s="65"/>
      <c r="K75" s="65">
        <f t="shared" si="35"/>
        <v>0</v>
      </c>
      <c r="L75" s="65">
        <f>L76+L80</f>
        <v>9005169.0899999999</v>
      </c>
      <c r="M75" s="65">
        <f t="shared" ref="M75:Q75" si="40">M76+M80</f>
        <v>2822884.8000000003</v>
      </c>
      <c r="N75" s="65">
        <f t="shared" si="40"/>
        <v>12745440</v>
      </c>
      <c r="O75" s="65">
        <f t="shared" si="40"/>
        <v>24573493.890000001</v>
      </c>
      <c r="P75" s="65">
        <f t="shared" si="40"/>
        <v>24380518.510000002</v>
      </c>
      <c r="Q75" s="65">
        <f t="shared" si="40"/>
        <v>24380518.510000002</v>
      </c>
    </row>
    <row r="76" spans="1:17" ht="85.5">
      <c r="A76" s="42"/>
      <c r="B76" s="47" t="s">
        <v>76</v>
      </c>
      <c r="C76" s="47"/>
      <c r="D76" s="52"/>
      <c r="E76" s="83"/>
      <c r="F76" s="83"/>
      <c r="G76" s="83"/>
      <c r="H76" s="46"/>
      <c r="I76" s="46"/>
      <c r="J76" s="46"/>
      <c r="K76" s="46">
        <f t="shared" si="35"/>
        <v>0</v>
      </c>
      <c r="L76" s="46">
        <f>SUM(L77:L79)</f>
        <v>9005169.0899999999</v>
      </c>
      <c r="M76" s="46">
        <f t="shared" ref="M76:Q76" si="41">SUM(M77:M79)</f>
        <v>2822884.8000000003</v>
      </c>
      <c r="N76" s="46">
        <f t="shared" si="41"/>
        <v>6507285.5999999996</v>
      </c>
      <c r="O76" s="46">
        <f t="shared" si="41"/>
        <v>18335339.490000002</v>
      </c>
      <c r="P76" s="46">
        <f t="shared" si="41"/>
        <v>18012402.560000002</v>
      </c>
      <c r="Q76" s="46">
        <f t="shared" si="41"/>
        <v>18012402.560000002</v>
      </c>
    </row>
    <row r="77" spans="1:17" ht="105">
      <c r="A77" s="42"/>
      <c r="B77" s="44" t="s">
        <v>19</v>
      </c>
      <c r="C77" s="42" t="s">
        <v>0</v>
      </c>
      <c r="D77" s="50" t="s">
        <v>20</v>
      </c>
      <c r="E77" s="82">
        <v>36</v>
      </c>
      <c r="F77" s="82" t="s">
        <v>72</v>
      </c>
      <c r="G77" s="82" t="s">
        <v>72</v>
      </c>
      <c r="H77" s="46">
        <v>41608.51</v>
      </c>
      <c r="I77" s="46">
        <v>11762.02</v>
      </c>
      <c r="J77" s="46">
        <v>27113.69</v>
      </c>
      <c r="K77" s="46">
        <f t="shared" si="35"/>
        <v>80484.22</v>
      </c>
      <c r="L77" s="46">
        <f t="shared" si="39"/>
        <v>1497906.36</v>
      </c>
      <c r="M77" s="46">
        <f t="shared" si="29"/>
        <v>423432.72000000003</v>
      </c>
      <c r="N77" s="46">
        <f t="shared" si="30"/>
        <v>976092.84</v>
      </c>
      <c r="O77" s="46">
        <f t="shared" si="31"/>
        <v>2897431.92</v>
      </c>
      <c r="P77" s="46">
        <f t="shared" si="32"/>
        <v>3782758.34</v>
      </c>
      <c r="Q77" s="46">
        <f t="shared" si="33"/>
        <v>3782758.34</v>
      </c>
    </row>
    <row r="78" spans="1:17" ht="15">
      <c r="A78" s="49"/>
      <c r="B78" s="44" t="s">
        <v>24</v>
      </c>
      <c r="C78" s="44"/>
      <c r="D78" s="44" t="s">
        <v>20</v>
      </c>
      <c r="E78" s="82">
        <v>153</v>
      </c>
      <c r="F78" s="82" t="s">
        <v>73</v>
      </c>
      <c r="G78" s="82" t="s">
        <v>73</v>
      </c>
      <c r="H78" s="46">
        <v>32991.18</v>
      </c>
      <c r="I78" s="46">
        <v>11762.02</v>
      </c>
      <c r="J78" s="46">
        <v>27113.69</v>
      </c>
      <c r="K78" s="46">
        <f t="shared" si="35"/>
        <v>71866.89</v>
      </c>
      <c r="L78" s="46">
        <f t="shared" si="39"/>
        <v>5047650.54</v>
      </c>
      <c r="M78" s="46">
        <f t="shared" si="29"/>
        <v>1799589.06</v>
      </c>
      <c r="N78" s="46">
        <f t="shared" si="30"/>
        <v>4148394.57</v>
      </c>
      <c r="O78" s="46">
        <f t="shared" si="31"/>
        <v>10995634.17</v>
      </c>
      <c r="P78" s="46">
        <f t="shared" si="32"/>
        <v>14229644.220000001</v>
      </c>
      <c r="Q78" s="46">
        <f t="shared" si="33"/>
        <v>14229644.220000001</v>
      </c>
    </row>
    <row r="79" spans="1:17" ht="120">
      <c r="A79" s="49"/>
      <c r="B79" s="44" t="s">
        <v>24</v>
      </c>
      <c r="C79" s="64" t="s">
        <v>162</v>
      </c>
      <c r="D79" s="50" t="s">
        <v>20</v>
      </c>
      <c r="E79" s="82">
        <v>51</v>
      </c>
      <c r="F79" s="82"/>
      <c r="G79" s="82"/>
      <c r="H79" s="46">
        <v>48227.69</v>
      </c>
      <c r="I79" s="46" t="s">
        <v>163</v>
      </c>
      <c r="J79" s="46" t="s">
        <v>164</v>
      </c>
      <c r="K79" s="46">
        <f t="shared" ref="K79" si="42">H79+I79+J79</f>
        <v>87103.400000000009</v>
      </c>
      <c r="L79" s="46">
        <f t="shared" si="39"/>
        <v>2459612.19</v>
      </c>
      <c r="M79" s="46">
        <f t="shared" si="29"/>
        <v>599863.02</v>
      </c>
      <c r="N79" s="46">
        <f t="shared" si="30"/>
        <v>1382798.19</v>
      </c>
      <c r="O79" s="46">
        <f t="shared" si="31"/>
        <v>4442273.4000000004</v>
      </c>
      <c r="P79" s="46">
        <f t="shared" si="32"/>
        <v>0</v>
      </c>
      <c r="Q79" s="46">
        <f t="shared" si="33"/>
        <v>0</v>
      </c>
    </row>
    <row r="80" spans="1:17" ht="15">
      <c r="A80" s="44"/>
      <c r="B80" s="48" t="s">
        <v>75</v>
      </c>
      <c r="C80" s="48"/>
      <c r="D80" s="44" t="s">
        <v>20</v>
      </c>
      <c r="E80" s="82">
        <v>240</v>
      </c>
      <c r="F80" s="82" t="s">
        <v>74</v>
      </c>
      <c r="G80" s="82" t="s">
        <v>74</v>
      </c>
      <c r="H80" s="46" t="s">
        <v>23</v>
      </c>
      <c r="I80" s="46"/>
      <c r="J80" s="46">
        <v>25992.31</v>
      </c>
      <c r="K80" s="46">
        <f t="shared" si="35"/>
        <v>25992.31</v>
      </c>
      <c r="L80" s="46">
        <f t="shared" si="39"/>
        <v>0</v>
      </c>
      <c r="M80" s="46">
        <f t="shared" si="29"/>
        <v>0</v>
      </c>
      <c r="N80" s="46">
        <f t="shared" si="30"/>
        <v>6238154.4000000004</v>
      </c>
      <c r="O80" s="46">
        <f t="shared" si="31"/>
        <v>6238154.4000000004</v>
      </c>
      <c r="P80" s="46">
        <f t="shared" si="32"/>
        <v>6368115.9500000002</v>
      </c>
      <c r="Q80" s="46">
        <f t="shared" si="33"/>
        <v>6368115.9500000002</v>
      </c>
    </row>
    <row r="81" spans="1:17" ht="18.75">
      <c r="A81" s="206" t="s">
        <v>154</v>
      </c>
      <c r="B81" s="206"/>
      <c r="C81" s="206"/>
      <c r="D81" s="44"/>
      <c r="E81" s="82"/>
      <c r="F81" s="82"/>
      <c r="G81" s="82"/>
      <c r="H81" s="46"/>
      <c r="I81" s="46"/>
      <c r="J81" s="46"/>
      <c r="K81" s="46"/>
      <c r="L81" s="46"/>
      <c r="M81" s="46"/>
      <c r="N81" s="46"/>
      <c r="O81" s="46"/>
      <c r="P81" s="46"/>
      <c r="Q81" s="46"/>
    </row>
    <row r="82" spans="1:17" ht="30">
      <c r="A82" s="205" t="s">
        <v>3</v>
      </c>
      <c r="B82" s="205" t="s">
        <v>86</v>
      </c>
      <c r="C82" s="62" t="s">
        <v>87</v>
      </c>
      <c r="D82" s="205" t="s">
        <v>4</v>
      </c>
      <c r="E82" s="210" t="s">
        <v>5</v>
      </c>
      <c r="F82" s="210"/>
      <c r="G82" s="210"/>
      <c r="H82" s="209" t="s">
        <v>6</v>
      </c>
      <c r="I82" s="209"/>
      <c r="J82" s="209"/>
      <c r="K82" s="209"/>
      <c r="L82" s="209" t="s">
        <v>7</v>
      </c>
      <c r="M82" s="209"/>
      <c r="N82" s="209"/>
      <c r="O82" s="209"/>
      <c r="P82" s="209"/>
      <c r="Q82" s="209"/>
    </row>
    <row r="83" spans="1:17" ht="120">
      <c r="A83" s="205"/>
      <c r="B83" s="205"/>
      <c r="C83" s="62"/>
      <c r="D83" s="205"/>
      <c r="E83" s="85" t="s">
        <v>8</v>
      </c>
      <c r="F83" s="85" t="s">
        <v>9</v>
      </c>
      <c r="G83" s="85" t="s">
        <v>10</v>
      </c>
      <c r="H83" s="76" t="s">
        <v>88</v>
      </c>
      <c r="I83" s="76" t="s">
        <v>89</v>
      </c>
      <c r="J83" s="76" t="s">
        <v>90</v>
      </c>
      <c r="K83" s="76" t="s">
        <v>91</v>
      </c>
      <c r="L83" s="76" t="s">
        <v>92</v>
      </c>
      <c r="M83" s="76" t="s">
        <v>93</v>
      </c>
      <c r="N83" s="76" t="s">
        <v>94</v>
      </c>
      <c r="O83" s="76" t="s">
        <v>95</v>
      </c>
      <c r="P83" s="76" t="s">
        <v>96</v>
      </c>
      <c r="Q83" s="76" t="s">
        <v>97</v>
      </c>
    </row>
    <row r="84" spans="1:17" ht="45">
      <c r="A84" s="8" t="s">
        <v>13</v>
      </c>
      <c r="B84" s="8" t="s">
        <v>13</v>
      </c>
      <c r="C84" s="8"/>
      <c r="D84" s="8" t="s">
        <v>15</v>
      </c>
      <c r="E84" s="86" t="s">
        <v>16</v>
      </c>
      <c r="F84" s="86" t="s">
        <v>16</v>
      </c>
      <c r="G84" s="86" t="s">
        <v>16</v>
      </c>
      <c r="H84" s="76" t="s">
        <v>17</v>
      </c>
      <c r="I84" s="76" t="s">
        <v>17</v>
      </c>
      <c r="J84" s="76" t="s">
        <v>17</v>
      </c>
      <c r="K84" s="76" t="s">
        <v>17</v>
      </c>
      <c r="L84" s="76" t="s">
        <v>17</v>
      </c>
      <c r="M84" s="76" t="s">
        <v>17</v>
      </c>
      <c r="N84" s="76" t="s">
        <v>17</v>
      </c>
      <c r="O84" s="76" t="s">
        <v>17</v>
      </c>
      <c r="P84" s="76" t="s">
        <v>17</v>
      </c>
      <c r="Q84" s="76" t="s">
        <v>17</v>
      </c>
    </row>
    <row r="85" spans="1:17" ht="90">
      <c r="A85" s="201" t="s">
        <v>98</v>
      </c>
      <c r="B85" s="199" t="s">
        <v>99</v>
      </c>
      <c r="C85" s="9" t="s">
        <v>100</v>
      </c>
      <c r="D85" s="10" t="s">
        <v>101</v>
      </c>
      <c r="E85" s="87">
        <v>227</v>
      </c>
      <c r="F85" s="87">
        <v>227</v>
      </c>
      <c r="G85" s="87">
        <v>227</v>
      </c>
      <c r="H85" s="71">
        <f>SUM(I85:K85)</f>
        <v>43059.57</v>
      </c>
      <c r="I85" s="71">
        <f>22328.93+952.08</f>
        <v>23281.010000000002</v>
      </c>
      <c r="J85" s="71">
        <v>3857.41</v>
      </c>
      <c r="K85" s="71">
        <v>15921.15</v>
      </c>
      <c r="L85" s="72">
        <f>SUM(M85:O85)</f>
        <v>9774522.3900000006</v>
      </c>
      <c r="M85" s="72">
        <f>E85*I85</f>
        <v>5284789.2700000005</v>
      </c>
      <c r="N85" s="72">
        <f>E85*J85</f>
        <v>875632.07</v>
      </c>
      <c r="O85" s="74">
        <f>E85*K85</f>
        <v>3614101.05</v>
      </c>
      <c r="P85" s="74">
        <f>F85*H85</f>
        <v>9774522.3900000006</v>
      </c>
      <c r="Q85" s="74">
        <f>G85*H85</f>
        <v>9774522.3900000006</v>
      </c>
    </row>
    <row r="86" spans="1:17" ht="120">
      <c r="A86" s="201"/>
      <c r="B86" s="199"/>
      <c r="C86" s="15" t="s">
        <v>102</v>
      </c>
      <c r="D86" s="16" t="s">
        <v>101</v>
      </c>
      <c r="E86" s="88">
        <v>3</v>
      </c>
      <c r="F86" s="88">
        <v>3</v>
      </c>
      <c r="G86" s="88">
        <v>3</v>
      </c>
      <c r="H86" s="78">
        <v>22724.03</v>
      </c>
      <c r="I86" s="78">
        <v>22724.03</v>
      </c>
      <c r="J86" s="78" t="s">
        <v>103</v>
      </c>
      <c r="K86" s="78" t="s">
        <v>103</v>
      </c>
      <c r="L86" s="72">
        <f>SUM(M86:O86)</f>
        <v>68172.09</v>
      </c>
      <c r="M86" s="72">
        <f>E86*I86</f>
        <v>68172.09</v>
      </c>
      <c r="N86" s="72" t="s">
        <v>104</v>
      </c>
      <c r="O86" s="77" t="s">
        <v>104</v>
      </c>
      <c r="P86" s="74">
        <f t="shared" ref="P86:P149" si="43">F86*H86</f>
        <v>68172.09</v>
      </c>
      <c r="Q86" s="74">
        <f t="shared" ref="Q86:Q149" si="44">G86*H86</f>
        <v>68172.09</v>
      </c>
    </row>
    <row r="87" spans="1:17" ht="120">
      <c r="A87" s="201"/>
      <c r="B87" s="199"/>
      <c r="C87" s="9" t="s">
        <v>105</v>
      </c>
      <c r="D87" s="16" t="s">
        <v>101</v>
      </c>
      <c r="E87" s="87">
        <v>3</v>
      </c>
      <c r="F87" s="87">
        <v>3</v>
      </c>
      <c r="G87" s="87">
        <v>3</v>
      </c>
      <c r="H87" s="78">
        <f>SUM(I87:K87)</f>
        <v>137159.02000000002</v>
      </c>
      <c r="I87" s="78">
        <f>116428.38+952.08</f>
        <v>117380.46</v>
      </c>
      <c r="J87" s="78">
        <v>3857.41</v>
      </c>
      <c r="K87" s="78">
        <v>15921.15</v>
      </c>
      <c r="L87" s="72">
        <f>SUM(M87:O87)</f>
        <v>411477.06</v>
      </c>
      <c r="M87" s="72">
        <f>E87*I87</f>
        <v>352141.38</v>
      </c>
      <c r="N87" s="72">
        <f>E87*J87</f>
        <v>11572.23</v>
      </c>
      <c r="O87" s="74">
        <f>E87*K87</f>
        <v>47763.45</v>
      </c>
      <c r="P87" s="74">
        <f t="shared" si="43"/>
        <v>411477.06000000006</v>
      </c>
      <c r="Q87" s="74">
        <f t="shared" si="44"/>
        <v>411477.06000000006</v>
      </c>
    </row>
    <row r="88" spans="1:17" ht="15">
      <c r="A88" s="201"/>
      <c r="B88" s="199"/>
      <c r="C88" s="21" t="s">
        <v>106</v>
      </c>
      <c r="D88" s="22"/>
      <c r="E88" s="87">
        <f>E85+E87</f>
        <v>230</v>
      </c>
      <c r="F88" s="87">
        <f t="shared" ref="F88:G88" si="45">F85+F87</f>
        <v>230</v>
      </c>
      <c r="G88" s="87">
        <f t="shared" si="45"/>
        <v>230</v>
      </c>
      <c r="H88" s="72" t="s">
        <v>104</v>
      </c>
      <c r="I88" s="72" t="s">
        <v>104</v>
      </c>
      <c r="J88" s="72" t="s">
        <v>104</v>
      </c>
      <c r="K88" s="72" t="s">
        <v>104</v>
      </c>
      <c r="L88" s="72">
        <f t="shared" ref="L88:O88" si="46">SUM(L85:L87)</f>
        <v>10254171.540000001</v>
      </c>
      <c r="M88" s="72">
        <f t="shared" si="46"/>
        <v>5705102.7400000002</v>
      </c>
      <c r="N88" s="72">
        <f t="shared" si="46"/>
        <v>887204.29999999993</v>
      </c>
      <c r="O88" s="72">
        <f t="shared" si="46"/>
        <v>3661864.5</v>
      </c>
      <c r="P88" s="74">
        <f>SUM(P85:P87)</f>
        <v>10254171.540000001</v>
      </c>
      <c r="Q88" s="74">
        <f>SUM(Q85:Q87)</f>
        <v>10254171.540000001</v>
      </c>
    </row>
    <row r="89" spans="1:17" ht="90">
      <c r="A89" s="201"/>
      <c r="B89" s="199" t="s">
        <v>107</v>
      </c>
      <c r="C89" s="9" t="s">
        <v>100</v>
      </c>
      <c r="D89" s="10" t="s">
        <v>101</v>
      </c>
      <c r="E89" s="87">
        <v>227</v>
      </c>
      <c r="F89" s="87">
        <v>227</v>
      </c>
      <c r="G89" s="87">
        <v>227</v>
      </c>
      <c r="H89" s="71">
        <f>SUM(I89:K89)</f>
        <v>54095.340000000004</v>
      </c>
      <c r="I89" s="71">
        <f>33147.58+1169.2</f>
        <v>34316.78</v>
      </c>
      <c r="J89" s="71">
        <v>3857.41</v>
      </c>
      <c r="K89" s="78">
        <v>15921.15</v>
      </c>
      <c r="L89" s="72">
        <f>SUM(M89:O89)</f>
        <v>12279642.18</v>
      </c>
      <c r="M89" s="72">
        <f>E89*I89</f>
        <v>7789909.0599999996</v>
      </c>
      <c r="N89" s="72">
        <f>E89*J89</f>
        <v>875632.07</v>
      </c>
      <c r="O89" s="72">
        <f>E89*K89</f>
        <v>3614101.05</v>
      </c>
      <c r="P89" s="74">
        <f t="shared" si="43"/>
        <v>12279642.180000002</v>
      </c>
      <c r="Q89" s="74">
        <f t="shared" si="44"/>
        <v>12279642.180000002</v>
      </c>
    </row>
    <row r="90" spans="1:17" ht="120">
      <c r="A90" s="201"/>
      <c r="B90" s="199"/>
      <c r="C90" s="15" t="s">
        <v>102</v>
      </c>
      <c r="D90" s="16" t="s">
        <v>101</v>
      </c>
      <c r="E90" s="89">
        <v>1</v>
      </c>
      <c r="F90" s="89">
        <v>1</v>
      </c>
      <c r="G90" s="89">
        <v>1</v>
      </c>
      <c r="H90" s="78">
        <v>22724.03</v>
      </c>
      <c r="I90" s="78">
        <v>22724.03</v>
      </c>
      <c r="J90" s="78" t="s">
        <v>103</v>
      </c>
      <c r="K90" s="78" t="s">
        <v>103</v>
      </c>
      <c r="L90" s="72">
        <f>SUM(M90:O90)</f>
        <v>22724.03</v>
      </c>
      <c r="M90" s="72">
        <f>E90*I90</f>
        <v>22724.03</v>
      </c>
      <c r="N90" s="72" t="s">
        <v>104</v>
      </c>
      <c r="O90" s="77" t="s">
        <v>104</v>
      </c>
      <c r="P90" s="74">
        <f t="shared" si="43"/>
        <v>22724.03</v>
      </c>
      <c r="Q90" s="74">
        <f t="shared" si="44"/>
        <v>22724.03</v>
      </c>
    </row>
    <row r="91" spans="1:17" ht="120">
      <c r="A91" s="201"/>
      <c r="B91" s="199"/>
      <c r="C91" s="9" t="s">
        <v>105</v>
      </c>
      <c r="D91" s="16" t="s">
        <v>101</v>
      </c>
      <c r="E91" s="89"/>
      <c r="F91" s="89"/>
      <c r="G91" s="89"/>
      <c r="H91" s="79"/>
      <c r="I91" s="79"/>
      <c r="J91" s="79"/>
      <c r="K91" s="80"/>
      <c r="L91" s="80"/>
      <c r="M91" s="80"/>
      <c r="N91" s="80"/>
      <c r="O91" s="80"/>
      <c r="P91" s="74">
        <f t="shared" si="43"/>
        <v>0</v>
      </c>
      <c r="Q91" s="74">
        <f t="shared" si="44"/>
        <v>0</v>
      </c>
    </row>
    <row r="92" spans="1:17" ht="15">
      <c r="A92" s="201"/>
      <c r="B92" s="63"/>
      <c r="C92" s="21" t="s">
        <v>106</v>
      </c>
      <c r="D92" s="16"/>
      <c r="E92" s="89">
        <f>E89+E91</f>
        <v>227</v>
      </c>
      <c r="F92" s="89">
        <f t="shared" ref="F92:G92" si="47">F89+F91</f>
        <v>227</v>
      </c>
      <c r="G92" s="89">
        <f t="shared" si="47"/>
        <v>227</v>
      </c>
      <c r="H92" s="79" t="s">
        <v>104</v>
      </c>
      <c r="I92" s="79" t="s">
        <v>104</v>
      </c>
      <c r="J92" s="79" t="s">
        <v>104</v>
      </c>
      <c r="K92" s="79" t="s">
        <v>104</v>
      </c>
      <c r="L92" s="79">
        <f t="shared" ref="L92:Q92" si="48">SUM(L89:L91)</f>
        <v>12302366.209999999</v>
      </c>
      <c r="M92" s="79">
        <f t="shared" si="48"/>
        <v>7812633.0899999999</v>
      </c>
      <c r="N92" s="79">
        <f t="shared" si="48"/>
        <v>875632.07</v>
      </c>
      <c r="O92" s="79">
        <f t="shared" si="48"/>
        <v>3614101.05</v>
      </c>
      <c r="P92" s="79">
        <f t="shared" si="48"/>
        <v>12302366.210000001</v>
      </c>
      <c r="Q92" s="79">
        <f t="shared" si="48"/>
        <v>12302366.210000001</v>
      </c>
    </row>
    <row r="93" spans="1:17" ht="90">
      <c r="A93" s="201"/>
      <c r="B93" s="199" t="s">
        <v>108</v>
      </c>
      <c r="C93" s="9" t="s">
        <v>100</v>
      </c>
      <c r="D93" s="10" t="s">
        <v>101</v>
      </c>
      <c r="E93" s="89">
        <v>43</v>
      </c>
      <c r="F93" s="89">
        <v>43</v>
      </c>
      <c r="G93" s="89">
        <v>43</v>
      </c>
      <c r="H93" s="71">
        <f>SUM(I93:K93)</f>
        <v>60807.1</v>
      </c>
      <c r="I93" s="71">
        <f>39660.87+1367.67</f>
        <v>41028.54</v>
      </c>
      <c r="J93" s="71">
        <v>3857.41</v>
      </c>
      <c r="K93" s="78">
        <v>15921.15</v>
      </c>
      <c r="L93" s="80">
        <f>SUM(M93:O93)</f>
        <v>2614705.2999999998</v>
      </c>
      <c r="M93" s="80">
        <f>E93*I93</f>
        <v>1764227.22</v>
      </c>
      <c r="N93" s="80">
        <f>E93*J93</f>
        <v>165868.63</v>
      </c>
      <c r="O93" s="80">
        <f>E93*K93</f>
        <v>684609.45</v>
      </c>
      <c r="P93" s="74">
        <f t="shared" si="43"/>
        <v>2614705.2999999998</v>
      </c>
      <c r="Q93" s="74">
        <f t="shared" si="44"/>
        <v>2614705.2999999998</v>
      </c>
    </row>
    <row r="94" spans="1:17" ht="120">
      <c r="A94" s="201"/>
      <c r="B94" s="199"/>
      <c r="C94" s="15" t="s">
        <v>102</v>
      </c>
      <c r="D94" s="16" t="s">
        <v>101</v>
      </c>
      <c r="E94" s="89"/>
      <c r="F94" s="89"/>
      <c r="G94" s="89"/>
      <c r="H94" s="78">
        <v>22724.03</v>
      </c>
      <c r="I94" s="78">
        <v>22724.03</v>
      </c>
      <c r="J94" s="78" t="s">
        <v>103</v>
      </c>
      <c r="K94" s="78" t="s">
        <v>103</v>
      </c>
      <c r="L94" s="72">
        <f>SUM(M94:O94)</f>
        <v>0</v>
      </c>
      <c r="M94" s="72">
        <f>E94*I94</f>
        <v>0</v>
      </c>
      <c r="N94" s="72" t="s">
        <v>104</v>
      </c>
      <c r="O94" s="77" t="s">
        <v>104</v>
      </c>
      <c r="P94" s="74">
        <f t="shared" si="43"/>
        <v>0</v>
      </c>
      <c r="Q94" s="74">
        <f t="shared" si="44"/>
        <v>0</v>
      </c>
    </row>
    <row r="95" spans="1:17" ht="120">
      <c r="A95" s="201"/>
      <c r="B95" s="199"/>
      <c r="C95" s="9" t="s">
        <v>105</v>
      </c>
      <c r="D95" s="16" t="s">
        <v>101</v>
      </c>
      <c r="E95" s="89"/>
      <c r="F95" s="89"/>
      <c r="G95" s="89"/>
      <c r="H95" s="79"/>
      <c r="I95" s="79"/>
      <c r="J95" s="79"/>
      <c r="K95" s="80"/>
      <c r="L95" s="80"/>
      <c r="M95" s="80"/>
      <c r="N95" s="80"/>
      <c r="O95" s="80"/>
      <c r="P95" s="74">
        <f t="shared" si="43"/>
        <v>0</v>
      </c>
      <c r="Q95" s="74">
        <f t="shared" si="44"/>
        <v>0</v>
      </c>
    </row>
    <row r="96" spans="1:17" ht="15">
      <c r="A96" s="201"/>
      <c r="B96" s="63"/>
      <c r="C96" s="21" t="s">
        <v>106</v>
      </c>
      <c r="D96" s="16"/>
      <c r="E96" s="89">
        <f>SUM(E93:E95)</f>
        <v>43</v>
      </c>
      <c r="F96" s="89">
        <f t="shared" ref="F96:Q96" si="49">SUM(F93:F95)</f>
        <v>43</v>
      </c>
      <c r="G96" s="89">
        <f t="shared" si="49"/>
        <v>43</v>
      </c>
      <c r="H96" s="79" t="s">
        <v>104</v>
      </c>
      <c r="I96" s="79" t="s">
        <v>104</v>
      </c>
      <c r="J96" s="79" t="s">
        <v>104</v>
      </c>
      <c r="K96" s="79" t="s">
        <v>104</v>
      </c>
      <c r="L96" s="79">
        <f t="shared" si="49"/>
        <v>2614705.2999999998</v>
      </c>
      <c r="M96" s="79">
        <f t="shared" si="49"/>
        <v>1764227.22</v>
      </c>
      <c r="N96" s="79">
        <f t="shared" si="49"/>
        <v>165868.63</v>
      </c>
      <c r="O96" s="79">
        <f t="shared" si="49"/>
        <v>684609.45</v>
      </c>
      <c r="P96" s="79">
        <f t="shared" si="49"/>
        <v>2614705.2999999998</v>
      </c>
      <c r="Q96" s="79">
        <f t="shared" si="49"/>
        <v>2614705.2999999998</v>
      </c>
    </row>
    <row r="97" spans="1:17" ht="165">
      <c r="A97" s="201"/>
      <c r="B97" s="200" t="s">
        <v>109</v>
      </c>
      <c r="C97" s="9" t="s">
        <v>110</v>
      </c>
      <c r="D97" s="16" t="s">
        <v>101</v>
      </c>
      <c r="E97" s="89">
        <v>300</v>
      </c>
      <c r="F97" s="89">
        <v>300</v>
      </c>
      <c r="G97" s="89">
        <v>300</v>
      </c>
      <c r="H97" s="78">
        <f>I97</f>
        <v>2770.76</v>
      </c>
      <c r="I97" s="78">
        <v>2770.76</v>
      </c>
      <c r="J97" s="78" t="s">
        <v>104</v>
      </c>
      <c r="K97" s="78" t="s">
        <v>104</v>
      </c>
      <c r="L97" s="80">
        <f>SUM(M97:O97)</f>
        <v>831228.00000000012</v>
      </c>
      <c r="M97" s="80">
        <f>I97*E97</f>
        <v>831228.00000000012</v>
      </c>
      <c r="N97" s="80" t="s">
        <v>104</v>
      </c>
      <c r="O97" s="80" t="s">
        <v>104</v>
      </c>
      <c r="P97" s="74">
        <f t="shared" si="43"/>
        <v>831228.00000000012</v>
      </c>
      <c r="Q97" s="74">
        <f t="shared" si="44"/>
        <v>831228.00000000012</v>
      </c>
    </row>
    <row r="98" spans="1:17" ht="180">
      <c r="A98" s="201"/>
      <c r="B98" s="200"/>
      <c r="C98" s="9" t="s">
        <v>111</v>
      </c>
      <c r="D98" s="16" t="s">
        <v>101</v>
      </c>
      <c r="E98" s="89">
        <v>286</v>
      </c>
      <c r="F98" s="89">
        <v>286</v>
      </c>
      <c r="G98" s="89">
        <v>286</v>
      </c>
      <c r="H98" s="78">
        <v>3829.24</v>
      </c>
      <c r="I98" s="78">
        <f>H98</f>
        <v>3829.24</v>
      </c>
      <c r="J98" s="78" t="s">
        <v>104</v>
      </c>
      <c r="K98" s="78" t="s">
        <v>104</v>
      </c>
      <c r="L98" s="80">
        <f>SUM(M98:O98)</f>
        <v>1095162.6399999999</v>
      </c>
      <c r="M98" s="80">
        <f>I98*E98</f>
        <v>1095162.6399999999</v>
      </c>
      <c r="N98" s="81" t="s">
        <v>104</v>
      </c>
      <c r="O98" s="73" t="s">
        <v>104</v>
      </c>
      <c r="P98" s="74">
        <f t="shared" si="43"/>
        <v>1095162.6399999999</v>
      </c>
      <c r="Q98" s="74">
        <f t="shared" si="44"/>
        <v>1095162.6399999999</v>
      </c>
    </row>
    <row r="99" spans="1:17" ht="15">
      <c r="A99" s="201"/>
      <c r="B99" s="29"/>
      <c r="C99" s="21" t="s">
        <v>106</v>
      </c>
      <c r="D99" s="29"/>
      <c r="E99" s="89">
        <f>SUM(E97:E98)</f>
        <v>586</v>
      </c>
      <c r="F99" s="89">
        <f t="shared" ref="F99:O99" si="50">SUM(F97:F98)</f>
        <v>586</v>
      </c>
      <c r="G99" s="89">
        <f t="shared" si="50"/>
        <v>586</v>
      </c>
      <c r="H99" s="79" t="s">
        <v>104</v>
      </c>
      <c r="I99" s="79" t="s">
        <v>104</v>
      </c>
      <c r="J99" s="79" t="s">
        <v>104</v>
      </c>
      <c r="K99" s="79">
        <f t="shared" si="50"/>
        <v>0</v>
      </c>
      <c r="L99" s="79">
        <f t="shared" si="50"/>
        <v>1926390.6400000001</v>
      </c>
      <c r="M99" s="79">
        <f t="shared" si="50"/>
        <v>1926390.6400000001</v>
      </c>
      <c r="N99" s="79">
        <f t="shared" si="50"/>
        <v>0</v>
      </c>
      <c r="O99" s="73">
        <f t="shared" si="50"/>
        <v>0</v>
      </c>
      <c r="P99" s="74">
        <f>SUM(P97:P98)</f>
        <v>1926390.6400000001</v>
      </c>
      <c r="Q99" s="74">
        <f>SUM(Q97:Q98)</f>
        <v>1926390.6400000001</v>
      </c>
    </row>
    <row r="100" spans="1:17" ht="14.25">
      <c r="A100" s="201"/>
      <c r="B100" s="30" t="s">
        <v>112</v>
      </c>
      <c r="C100" s="30"/>
      <c r="D100" s="29"/>
      <c r="E100" s="90"/>
      <c r="F100" s="90"/>
      <c r="G100" s="90"/>
      <c r="H100" s="73"/>
      <c r="I100" s="73"/>
      <c r="J100" s="73"/>
      <c r="K100" s="73"/>
      <c r="L100" s="73">
        <f>SUM(M100:O100)</f>
        <v>27097633.690000001</v>
      </c>
      <c r="M100" s="73">
        <f t="shared" ref="M100:Q100" si="51">M88+M92+M96+M99</f>
        <v>17208353.690000001</v>
      </c>
      <c r="N100" s="73">
        <f t="shared" si="51"/>
        <v>1928705</v>
      </c>
      <c r="O100" s="73">
        <f t="shared" si="51"/>
        <v>7960575</v>
      </c>
      <c r="P100" s="73">
        <f t="shared" si="51"/>
        <v>27097633.690000001</v>
      </c>
      <c r="Q100" s="73">
        <f t="shared" si="51"/>
        <v>27097633.690000001</v>
      </c>
    </row>
    <row r="101" spans="1:17" ht="90">
      <c r="A101" s="201" t="s">
        <v>113</v>
      </c>
      <c r="B101" s="199" t="s">
        <v>99</v>
      </c>
      <c r="C101" s="9" t="s">
        <v>100</v>
      </c>
      <c r="D101" s="10" t="s">
        <v>101</v>
      </c>
      <c r="E101" s="87">
        <v>204</v>
      </c>
      <c r="F101" s="87">
        <v>205</v>
      </c>
      <c r="G101" s="87">
        <v>203</v>
      </c>
      <c r="H101" s="71">
        <f>SUM(I101:K101)</f>
        <v>43059.57</v>
      </c>
      <c r="I101" s="71">
        <f>22328.93+952.08</f>
        <v>23281.010000000002</v>
      </c>
      <c r="J101" s="71">
        <v>3857.41</v>
      </c>
      <c r="K101" s="71">
        <v>15921.15</v>
      </c>
      <c r="L101" s="72">
        <f>SUM(M101:O101)</f>
        <v>8784152.2799999993</v>
      </c>
      <c r="M101" s="72">
        <f>E101*I101</f>
        <v>4749326.04</v>
      </c>
      <c r="N101" s="72">
        <f>E101*J101</f>
        <v>786911.64</v>
      </c>
      <c r="O101" s="74">
        <f>E101*K101</f>
        <v>3247914.6</v>
      </c>
      <c r="P101" s="74">
        <f t="shared" si="43"/>
        <v>8827211.8499999996</v>
      </c>
      <c r="Q101" s="74">
        <f t="shared" si="44"/>
        <v>8741092.709999999</v>
      </c>
    </row>
    <row r="102" spans="1:17" ht="120">
      <c r="A102" s="201"/>
      <c r="B102" s="199"/>
      <c r="C102" s="15" t="s">
        <v>102</v>
      </c>
      <c r="D102" s="16" t="s">
        <v>101</v>
      </c>
      <c r="E102" s="88">
        <v>3</v>
      </c>
      <c r="F102" s="88">
        <v>1</v>
      </c>
      <c r="G102" s="88">
        <v>1</v>
      </c>
      <c r="H102" s="78">
        <v>22724.03</v>
      </c>
      <c r="I102" s="78">
        <v>22724.03</v>
      </c>
      <c r="J102" s="78" t="s">
        <v>103</v>
      </c>
      <c r="K102" s="78" t="s">
        <v>103</v>
      </c>
      <c r="L102" s="72">
        <f>SUM(M102:O102)</f>
        <v>68172.09</v>
      </c>
      <c r="M102" s="72">
        <f>E102*I102</f>
        <v>68172.09</v>
      </c>
      <c r="N102" s="72" t="s">
        <v>104</v>
      </c>
      <c r="O102" s="77" t="s">
        <v>104</v>
      </c>
      <c r="P102" s="74">
        <f t="shared" si="43"/>
        <v>22724.03</v>
      </c>
      <c r="Q102" s="74">
        <f t="shared" si="44"/>
        <v>22724.03</v>
      </c>
    </row>
    <row r="103" spans="1:17" ht="120">
      <c r="A103" s="201"/>
      <c r="B103" s="199"/>
      <c r="C103" s="9" t="s">
        <v>105</v>
      </c>
      <c r="D103" s="16" t="s">
        <v>101</v>
      </c>
      <c r="E103" s="87"/>
      <c r="F103" s="87">
        <v>1</v>
      </c>
      <c r="G103" s="87">
        <v>1</v>
      </c>
      <c r="H103" s="78">
        <f>SUM(I103:K103)</f>
        <v>137159.02000000002</v>
      </c>
      <c r="I103" s="78">
        <f>116428.38+952.08</f>
        <v>117380.46</v>
      </c>
      <c r="J103" s="78">
        <v>3857.41</v>
      </c>
      <c r="K103" s="78">
        <v>15921.15</v>
      </c>
      <c r="L103" s="72">
        <f>SUM(M103:O103)</f>
        <v>0</v>
      </c>
      <c r="M103" s="72">
        <f>E103*I103</f>
        <v>0</v>
      </c>
      <c r="N103" s="72">
        <f>E103*J103</f>
        <v>0</v>
      </c>
      <c r="O103" s="74">
        <f>E103*K103</f>
        <v>0</v>
      </c>
      <c r="P103" s="74">
        <f t="shared" si="43"/>
        <v>137159.02000000002</v>
      </c>
      <c r="Q103" s="74">
        <f t="shared" si="44"/>
        <v>137159.02000000002</v>
      </c>
    </row>
    <row r="104" spans="1:17" ht="15">
      <c r="A104" s="201"/>
      <c r="B104" s="199"/>
      <c r="C104" s="21" t="s">
        <v>106</v>
      </c>
      <c r="D104" s="22"/>
      <c r="E104" s="87">
        <f>E101+E103</f>
        <v>204</v>
      </c>
      <c r="F104" s="87">
        <f>F101+F103</f>
        <v>206</v>
      </c>
      <c r="G104" s="87">
        <f t="shared" ref="G104" si="52">G101+G103</f>
        <v>204</v>
      </c>
      <c r="H104" s="72" t="s">
        <v>104</v>
      </c>
      <c r="I104" s="72" t="s">
        <v>104</v>
      </c>
      <c r="J104" s="72" t="s">
        <v>104</v>
      </c>
      <c r="K104" s="72" t="s">
        <v>104</v>
      </c>
      <c r="L104" s="72">
        <f t="shared" ref="L104:O104" si="53">SUM(L101:L103)</f>
        <v>8852324.3699999992</v>
      </c>
      <c r="M104" s="72">
        <f t="shared" si="53"/>
        <v>4817498.13</v>
      </c>
      <c r="N104" s="72">
        <f t="shared" si="53"/>
        <v>786911.64</v>
      </c>
      <c r="O104" s="72">
        <f t="shared" si="53"/>
        <v>3247914.6</v>
      </c>
      <c r="P104" s="74">
        <f>SUM(P101:P103)</f>
        <v>8987094.8999999985</v>
      </c>
      <c r="Q104" s="74">
        <f>SUM(Q101:Q103)</f>
        <v>8900975.7599999979</v>
      </c>
    </row>
    <row r="105" spans="1:17" ht="90">
      <c r="A105" s="201"/>
      <c r="B105" s="199" t="s">
        <v>107</v>
      </c>
      <c r="C105" s="9" t="s">
        <v>100</v>
      </c>
      <c r="D105" s="10" t="s">
        <v>101</v>
      </c>
      <c r="E105" s="87">
        <v>240</v>
      </c>
      <c r="F105" s="87">
        <v>233</v>
      </c>
      <c r="G105" s="87">
        <v>244</v>
      </c>
      <c r="H105" s="71">
        <f>SUM(I105:K105)</f>
        <v>54095.340000000004</v>
      </c>
      <c r="I105" s="71">
        <f>33147.58+1169.2</f>
        <v>34316.78</v>
      </c>
      <c r="J105" s="71">
        <v>3857.41</v>
      </c>
      <c r="K105" s="78">
        <v>15921.15</v>
      </c>
      <c r="L105" s="72">
        <f>SUM(M105:O105)</f>
        <v>12982881.6</v>
      </c>
      <c r="M105" s="72">
        <f>E105*I105</f>
        <v>8236027.1999999993</v>
      </c>
      <c r="N105" s="72">
        <f>E105*J105</f>
        <v>925778.39999999991</v>
      </c>
      <c r="O105" s="72">
        <f>E105*K105</f>
        <v>3821076</v>
      </c>
      <c r="P105" s="74">
        <f t="shared" si="43"/>
        <v>12604214.220000001</v>
      </c>
      <c r="Q105" s="74">
        <f t="shared" si="44"/>
        <v>13199262.960000001</v>
      </c>
    </row>
    <row r="106" spans="1:17" ht="120">
      <c r="A106" s="201"/>
      <c r="B106" s="199"/>
      <c r="C106" s="15" t="s">
        <v>102</v>
      </c>
      <c r="D106" s="16" t="s">
        <v>101</v>
      </c>
      <c r="E106" s="89">
        <v>3</v>
      </c>
      <c r="F106" s="89">
        <v>4</v>
      </c>
      <c r="G106" s="89">
        <v>4</v>
      </c>
      <c r="H106" s="78">
        <v>22724.03</v>
      </c>
      <c r="I106" s="78">
        <v>22724.03</v>
      </c>
      <c r="J106" s="78" t="s">
        <v>103</v>
      </c>
      <c r="K106" s="78" t="s">
        <v>103</v>
      </c>
      <c r="L106" s="72">
        <f>SUM(M106:O106)</f>
        <v>68172.09</v>
      </c>
      <c r="M106" s="72">
        <f>E106*I106</f>
        <v>68172.09</v>
      </c>
      <c r="N106" s="72" t="s">
        <v>104</v>
      </c>
      <c r="O106" s="77" t="s">
        <v>104</v>
      </c>
      <c r="P106" s="74">
        <f t="shared" si="43"/>
        <v>90896.12</v>
      </c>
      <c r="Q106" s="74">
        <f t="shared" si="44"/>
        <v>90896.12</v>
      </c>
    </row>
    <row r="107" spans="1:17" ht="120">
      <c r="A107" s="201"/>
      <c r="B107" s="199"/>
      <c r="C107" s="9" t="s">
        <v>105</v>
      </c>
      <c r="D107" s="16" t="s">
        <v>101</v>
      </c>
      <c r="E107" s="89">
        <v>5</v>
      </c>
      <c r="F107" s="89">
        <v>4</v>
      </c>
      <c r="G107" s="89">
        <v>4</v>
      </c>
      <c r="H107" s="78">
        <f>SUM(I107:K107)</f>
        <v>166124.72</v>
      </c>
      <c r="I107" s="78">
        <f>145176.96+1169.2</f>
        <v>146346.16</v>
      </c>
      <c r="J107" s="78">
        <v>3857.41</v>
      </c>
      <c r="K107" s="78">
        <v>15921.15</v>
      </c>
      <c r="L107" s="72">
        <f>SUM(M107:O107)</f>
        <v>830623.60000000009</v>
      </c>
      <c r="M107" s="72">
        <f>E107*I107</f>
        <v>731730.8</v>
      </c>
      <c r="N107" s="80">
        <f>E107*J107</f>
        <v>19287.05</v>
      </c>
      <c r="O107" s="80">
        <f>E107*K107</f>
        <v>79605.75</v>
      </c>
      <c r="P107" s="74">
        <f t="shared" si="43"/>
        <v>664498.88</v>
      </c>
      <c r="Q107" s="74">
        <f t="shared" si="44"/>
        <v>664498.88</v>
      </c>
    </row>
    <row r="108" spans="1:17" ht="15">
      <c r="A108" s="201"/>
      <c r="B108" s="63"/>
      <c r="C108" s="21" t="s">
        <v>106</v>
      </c>
      <c r="D108" s="16"/>
      <c r="E108" s="89">
        <f>E105+E107</f>
        <v>245</v>
      </c>
      <c r="F108" s="89">
        <f t="shared" ref="F108:G108" si="54">F105+F107</f>
        <v>237</v>
      </c>
      <c r="G108" s="89">
        <f t="shared" si="54"/>
        <v>248</v>
      </c>
      <c r="H108" s="79" t="s">
        <v>104</v>
      </c>
      <c r="I108" s="79" t="s">
        <v>104</v>
      </c>
      <c r="J108" s="79" t="s">
        <v>104</v>
      </c>
      <c r="K108" s="79" t="s">
        <v>104</v>
      </c>
      <c r="L108" s="79">
        <f t="shared" ref="L108:O108" si="55">SUM(L105:L107)</f>
        <v>13881677.289999999</v>
      </c>
      <c r="M108" s="79">
        <f t="shared" si="55"/>
        <v>9035930.0899999999</v>
      </c>
      <c r="N108" s="79">
        <f t="shared" si="55"/>
        <v>945065.45</v>
      </c>
      <c r="O108" s="79">
        <f t="shared" si="55"/>
        <v>3900681.75</v>
      </c>
      <c r="P108" s="74">
        <f>SUM(P105:P107)</f>
        <v>13359609.220000001</v>
      </c>
      <c r="Q108" s="74">
        <f>SUM(Q105:Q107)</f>
        <v>13954657.960000001</v>
      </c>
    </row>
    <row r="109" spans="1:17" ht="90">
      <c r="A109" s="201"/>
      <c r="B109" s="199" t="s">
        <v>108</v>
      </c>
      <c r="C109" s="9" t="s">
        <v>100</v>
      </c>
      <c r="D109" s="10" t="s">
        <v>101</v>
      </c>
      <c r="E109" s="89">
        <v>36</v>
      </c>
      <c r="F109" s="89">
        <v>46</v>
      </c>
      <c r="G109" s="89">
        <v>50</v>
      </c>
      <c r="H109" s="71">
        <f>SUM(I109:K109)</f>
        <v>60807.1</v>
      </c>
      <c r="I109" s="71">
        <f>39660.87+1367.67</f>
        <v>41028.54</v>
      </c>
      <c r="J109" s="71">
        <v>3857.41</v>
      </c>
      <c r="K109" s="78">
        <v>15921.15</v>
      </c>
      <c r="L109" s="80">
        <f>SUM(M109:O109)</f>
        <v>2189055.6</v>
      </c>
      <c r="M109" s="80">
        <f>E109*I109</f>
        <v>1477027.44</v>
      </c>
      <c r="N109" s="80">
        <f>E109*J109</f>
        <v>138866.76</v>
      </c>
      <c r="O109" s="80">
        <f>E109*K109</f>
        <v>573161.4</v>
      </c>
      <c r="P109" s="74">
        <f t="shared" si="43"/>
        <v>2797126.6</v>
      </c>
      <c r="Q109" s="74">
        <f t="shared" si="44"/>
        <v>3040355</v>
      </c>
    </row>
    <row r="110" spans="1:17" ht="120">
      <c r="A110" s="201"/>
      <c r="B110" s="199"/>
      <c r="C110" s="15" t="s">
        <v>102</v>
      </c>
      <c r="D110" s="16" t="s">
        <v>101</v>
      </c>
      <c r="E110" s="89">
        <v>2</v>
      </c>
      <c r="F110" s="89"/>
      <c r="G110" s="89"/>
      <c r="H110" s="78">
        <v>22724.03</v>
      </c>
      <c r="I110" s="78">
        <v>22724.03</v>
      </c>
      <c r="J110" s="78" t="s">
        <v>103</v>
      </c>
      <c r="K110" s="78" t="s">
        <v>103</v>
      </c>
      <c r="L110" s="72">
        <f>SUM(M110:O110)</f>
        <v>45448.06</v>
      </c>
      <c r="M110" s="72">
        <f>E110*I110</f>
        <v>45448.06</v>
      </c>
      <c r="N110" s="72" t="s">
        <v>104</v>
      </c>
      <c r="O110" s="77" t="s">
        <v>104</v>
      </c>
      <c r="P110" s="74">
        <f t="shared" si="43"/>
        <v>0</v>
      </c>
      <c r="Q110" s="74">
        <f t="shared" si="44"/>
        <v>0</v>
      </c>
    </row>
    <row r="111" spans="1:17" ht="120">
      <c r="A111" s="201"/>
      <c r="B111" s="199"/>
      <c r="C111" s="9" t="s">
        <v>105</v>
      </c>
      <c r="D111" s="16" t="s">
        <v>101</v>
      </c>
      <c r="E111" s="89"/>
      <c r="F111" s="89"/>
      <c r="G111" s="89"/>
      <c r="H111" s="79"/>
      <c r="I111" s="79"/>
      <c r="J111" s="79"/>
      <c r="K111" s="80"/>
      <c r="L111" s="80"/>
      <c r="M111" s="80"/>
      <c r="N111" s="80"/>
      <c r="O111" s="80"/>
      <c r="P111" s="74">
        <f t="shared" si="43"/>
        <v>0</v>
      </c>
      <c r="Q111" s="74">
        <f t="shared" si="44"/>
        <v>0</v>
      </c>
    </row>
    <row r="112" spans="1:17" ht="15">
      <c r="A112" s="201"/>
      <c r="B112" s="63"/>
      <c r="C112" s="21" t="s">
        <v>106</v>
      </c>
      <c r="D112" s="16"/>
      <c r="E112" s="89">
        <f>E109+E111</f>
        <v>36</v>
      </c>
      <c r="F112" s="89">
        <f t="shared" ref="F112:G112" si="56">F109+F111</f>
        <v>46</v>
      </c>
      <c r="G112" s="89">
        <f t="shared" si="56"/>
        <v>50</v>
      </c>
      <c r="H112" s="79" t="s">
        <v>104</v>
      </c>
      <c r="I112" s="79" t="s">
        <v>104</v>
      </c>
      <c r="J112" s="79" t="s">
        <v>104</v>
      </c>
      <c r="K112" s="79" t="s">
        <v>104</v>
      </c>
      <c r="L112" s="79">
        <f t="shared" ref="L112:O112" si="57">SUM(L109:L111)</f>
        <v>2234503.66</v>
      </c>
      <c r="M112" s="79">
        <f t="shared" si="57"/>
        <v>1522475.5</v>
      </c>
      <c r="N112" s="79">
        <f t="shared" si="57"/>
        <v>138866.76</v>
      </c>
      <c r="O112" s="79">
        <f t="shared" si="57"/>
        <v>573161.4</v>
      </c>
      <c r="P112" s="74">
        <f>SUM(P109:P111)</f>
        <v>2797126.6</v>
      </c>
      <c r="Q112" s="74">
        <f>SUM(Q109:Q111)</f>
        <v>3040355</v>
      </c>
    </row>
    <row r="113" spans="1:17" ht="165">
      <c r="A113" s="201"/>
      <c r="B113" s="200" t="s">
        <v>109</v>
      </c>
      <c r="C113" s="9" t="s">
        <v>110</v>
      </c>
      <c r="D113" s="16" t="s">
        <v>101</v>
      </c>
      <c r="E113" s="89">
        <v>218</v>
      </c>
      <c r="F113" s="89">
        <v>220</v>
      </c>
      <c r="G113" s="89">
        <v>227</v>
      </c>
      <c r="H113" s="78">
        <f>I113</f>
        <v>2770.76</v>
      </c>
      <c r="I113" s="78">
        <v>2770.76</v>
      </c>
      <c r="J113" s="78" t="s">
        <v>104</v>
      </c>
      <c r="K113" s="78" t="s">
        <v>104</v>
      </c>
      <c r="L113" s="80">
        <f>SUM(M113:O113)</f>
        <v>604025.68000000005</v>
      </c>
      <c r="M113" s="80">
        <f>I113*E113</f>
        <v>604025.68000000005</v>
      </c>
      <c r="N113" s="80" t="s">
        <v>104</v>
      </c>
      <c r="O113" s="80" t="s">
        <v>104</v>
      </c>
      <c r="P113" s="74">
        <f t="shared" si="43"/>
        <v>609567.20000000007</v>
      </c>
      <c r="Q113" s="74">
        <f t="shared" si="44"/>
        <v>628962.52</v>
      </c>
    </row>
    <row r="114" spans="1:17" ht="180">
      <c r="A114" s="201"/>
      <c r="B114" s="200"/>
      <c r="C114" s="9" t="s">
        <v>111</v>
      </c>
      <c r="D114" s="16" t="s">
        <v>101</v>
      </c>
      <c r="E114" s="90">
        <v>298</v>
      </c>
      <c r="F114" s="90">
        <v>301</v>
      </c>
      <c r="G114" s="90">
        <v>310</v>
      </c>
      <c r="H114" s="78">
        <v>3829.24</v>
      </c>
      <c r="I114" s="78">
        <f>H114</f>
        <v>3829.24</v>
      </c>
      <c r="J114" s="78" t="s">
        <v>104</v>
      </c>
      <c r="K114" s="78" t="s">
        <v>104</v>
      </c>
      <c r="L114" s="80">
        <f>SUM(M114:O114)</f>
        <v>1141113.52</v>
      </c>
      <c r="M114" s="80">
        <f>I114*E114</f>
        <v>1141113.52</v>
      </c>
      <c r="N114" s="81" t="s">
        <v>104</v>
      </c>
      <c r="O114" s="73" t="s">
        <v>104</v>
      </c>
      <c r="P114" s="74">
        <f t="shared" si="43"/>
        <v>1152601.24</v>
      </c>
      <c r="Q114" s="74">
        <f t="shared" si="44"/>
        <v>1187064.3999999999</v>
      </c>
    </row>
    <row r="115" spans="1:17" ht="15">
      <c r="A115" s="201"/>
      <c r="B115" s="29"/>
      <c r="C115" s="21" t="s">
        <v>106</v>
      </c>
      <c r="D115" s="29"/>
      <c r="E115" s="90">
        <f>SUM(E113:E114)</f>
        <v>516</v>
      </c>
      <c r="F115" s="90">
        <f t="shared" ref="F115:G115" si="58">SUM(F113:F114)</f>
        <v>521</v>
      </c>
      <c r="G115" s="90">
        <f t="shared" si="58"/>
        <v>537</v>
      </c>
      <c r="H115" s="73" t="s">
        <v>104</v>
      </c>
      <c r="I115" s="73" t="s">
        <v>104</v>
      </c>
      <c r="J115" s="73" t="s">
        <v>104</v>
      </c>
      <c r="K115" s="73">
        <f t="shared" ref="K115:O115" si="59">SUM(K113:K114)</f>
        <v>0</v>
      </c>
      <c r="L115" s="79">
        <f t="shared" si="59"/>
        <v>1745139.2000000002</v>
      </c>
      <c r="M115" s="79">
        <f t="shared" si="59"/>
        <v>1745139.2000000002</v>
      </c>
      <c r="N115" s="79">
        <f t="shared" si="59"/>
        <v>0</v>
      </c>
      <c r="O115" s="79">
        <f t="shared" si="59"/>
        <v>0</v>
      </c>
      <c r="P115" s="74">
        <f>SUM(P113:P114)</f>
        <v>1762168.44</v>
      </c>
      <c r="Q115" s="74">
        <f>SUM(Q113:Q114)</f>
        <v>1816026.92</v>
      </c>
    </row>
    <row r="116" spans="1:17" ht="14.25">
      <c r="A116" s="201"/>
      <c r="B116" s="30" t="s">
        <v>112</v>
      </c>
      <c r="C116" s="30"/>
      <c r="D116" s="29"/>
      <c r="E116" s="90"/>
      <c r="F116" s="90"/>
      <c r="G116" s="90"/>
      <c r="H116" s="73"/>
      <c r="I116" s="73"/>
      <c r="J116" s="73"/>
      <c r="K116" s="73"/>
      <c r="L116" s="73">
        <f>SUM(M116:O116)</f>
        <v>26713644.52</v>
      </c>
      <c r="M116" s="73">
        <f t="shared" ref="M116:Q116" si="60">M104+M108+M112+M115</f>
        <v>17121042.919999998</v>
      </c>
      <c r="N116" s="73">
        <f t="shared" si="60"/>
        <v>1870843.8499999999</v>
      </c>
      <c r="O116" s="73">
        <f t="shared" si="60"/>
        <v>7721757.75</v>
      </c>
      <c r="P116" s="73">
        <f t="shared" si="60"/>
        <v>26905999.16</v>
      </c>
      <c r="Q116" s="73">
        <f t="shared" si="60"/>
        <v>27712015.640000001</v>
      </c>
    </row>
    <row r="117" spans="1:17" ht="90">
      <c r="A117" s="201" t="s">
        <v>114</v>
      </c>
      <c r="B117" s="199" t="s">
        <v>99</v>
      </c>
      <c r="C117" s="9" t="s">
        <v>100</v>
      </c>
      <c r="D117" s="10" t="s">
        <v>101</v>
      </c>
      <c r="E117" s="87">
        <v>157</v>
      </c>
      <c r="F117" s="87">
        <v>180</v>
      </c>
      <c r="G117" s="87">
        <v>210</v>
      </c>
      <c r="H117" s="71">
        <f>SUM(I117:K117)</f>
        <v>43059.57</v>
      </c>
      <c r="I117" s="71">
        <f>22328.93+952.08</f>
        <v>23281.010000000002</v>
      </c>
      <c r="J117" s="71">
        <v>3857.41</v>
      </c>
      <c r="K117" s="71">
        <v>15921.15</v>
      </c>
      <c r="L117" s="72">
        <f>SUM(M117:O117)</f>
        <v>6760352.4900000002</v>
      </c>
      <c r="M117" s="72">
        <f>E117*I117</f>
        <v>3655118.5700000003</v>
      </c>
      <c r="N117" s="72">
        <f>E117*J117</f>
        <v>605613.37</v>
      </c>
      <c r="O117" s="74">
        <f>E117*K117</f>
        <v>2499620.5499999998</v>
      </c>
      <c r="P117" s="74">
        <f t="shared" si="43"/>
        <v>7750722.5999999996</v>
      </c>
      <c r="Q117" s="74">
        <f t="shared" si="44"/>
        <v>9042509.6999999993</v>
      </c>
    </row>
    <row r="118" spans="1:17" ht="120">
      <c r="A118" s="201"/>
      <c r="B118" s="199"/>
      <c r="C118" s="15" t="s">
        <v>102</v>
      </c>
      <c r="D118" s="16" t="s">
        <v>101</v>
      </c>
      <c r="E118" s="88">
        <v>2</v>
      </c>
      <c r="F118" s="88">
        <v>1</v>
      </c>
      <c r="G118" s="88">
        <v>1</v>
      </c>
      <c r="H118" s="78">
        <v>22724.03</v>
      </c>
      <c r="I118" s="78">
        <v>22724.03</v>
      </c>
      <c r="J118" s="78" t="s">
        <v>103</v>
      </c>
      <c r="K118" s="78" t="s">
        <v>103</v>
      </c>
      <c r="L118" s="72">
        <f>SUM(M118:O118)</f>
        <v>45448.06</v>
      </c>
      <c r="M118" s="72">
        <f>E118*I118</f>
        <v>45448.06</v>
      </c>
      <c r="N118" s="72" t="s">
        <v>104</v>
      </c>
      <c r="O118" s="77" t="s">
        <v>104</v>
      </c>
      <c r="P118" s="74">
        <f t="shared" si="43"/>
        <v>22724.03</v>
      </c>
      <c r="Q118" s="74">
        <f t="shared" si="44"/>
        <v>22724.03</v>
      </c>
    </row>
    <row r="119" spans="1:17" ht="120">
      <c r="A119" s="201"/>
      <c r="B119" s="199"/>
      <c r="C119" s="9" t="s">
        <v>105</v>
      </c>
      <c r="D119" s="16" t="s">
        <v>101</v>
      </c>
      <c r="E119" s="87"/>
      <c r="F119" s="87">
        <v>1</v>
      </c>
      <c r="G119" s="87">
        <v>1</v>
      </c>
      <c r="H119" s="78">
        <f>SUM(I119:K119)</f>
        <v>137159.02000000002</v>
      </c>
      <c r="I119" s="78">
        <f>116428.38+952.08</f>
        <v>117380.46</v>
      </c>
      <c r="J119" s="78">
        <v>3857.41</v>
      </c>
      <c r="K119" s="78">
        <v>15921.15</v>
      </c>
      <c r="L119" s="72">
        <f>SUM(M119:O119)</f>
        <v>0</v>
      </c>
      <c r="M119" s="72">
        <f>E119*I119</f>
        <v>0</v>
      </c>
      <c r="N119" s="72">
        <f>E119*J119</f>
        <v>0</v>
      </c>
      <c r="O119" s="74">
        <f>E119*K119</f>
        <v>0</v>
      </c>
      <c r="P119" s="74">
        <f t="shared" si="43"/>
        <v>137159.02000000002</v>
      </c>
      <c r="Q119" s="74">
        <f t="shared" si="44"/>
        <v>137159.02000000002</v>
      </c>
    </row>
    <row r="120" spans="1:17" ht="15">
      <c r="A120" s="201"/>
      <c r="B120" s="199"/>
      <c r="C120" s="21" t="s">
        <v>106</v>
      </c>
      <c r="D120" s="22"/>
      <c r="E120" s="87">
        <f>E117+E119</f>
        <v>157</v>
      </c>
      <c r="F120" s="87">
        <f t="shared" ref="F120:G120" si="61">F117+F119</f>
        <v>181</v>
      </c>
      <c r="G120" s="87">
        <f t="shared" si="61"/>
        <v>211</v>
      </c>
      <c r="H120" s="72" t="s">
        <v>104</v>
      </c>
      <c r="I120" s="72" t="s">
        <v>104</v>
      </c>
      <c r="J120" s="72" t="s">
        <v>104</v>
      </c>
      <c r="K120" s="72" t="s">
        <v>104</v>
      </c>
      <c r="L120" s="72">
        <f t="shared" ref="L120:Q120" si="62">SUM(L117:L119)</f>
        <v>6805800.5499999998</v>
      </c>
      <c r="M120" s="72">
        <f t="shared" si="62"/>
        <v>3700566.6300000004</v>
      </c>
      <c r="N120" s="72">
        <f t="shared" si="62"/>
        <v>605613.37</v>
      </c>
      <c r="O120" s="72">
        <f t="shared" si="62"/>
        <v>2499620.5499999998</v>
      </c>
      <c r="P120" s="72">
        <f t="shared" si="62"/>
        <v>7910605.6500000004</v>
      </c>
      <c r="Q120" s="72">
        <f t="shared" si="62"/>
        <v>9202392.7499999981</v>
      </c>
    </row>
    <row r="121" spans="1:17" ht="90">
      <c r="A121" s="201"/>
      <c r="B121" s="199" t="s">
        <v>107</v>
      </c>
      <c r="C121" s="9" t="s">
        <v>100</v>
      </c>
      <c r="D121" s="10" t="s">
        <v>101</v>
      </c>
      <c r="E121" s="87">
        <v>293</v>
      </c>
      <c r="F121" s="87">
        <v>265</v>
      </c>
      <c r="G121" s="87">
        <v>236</v>
      </c>
      <c r="H121" s="71">
        <f>SUM(I121:K121)</f>
        <v>54095.340000000004</v>
      </c>
      <c r="I121" s="71">
        <f>33147.58+1169.2</f>
        <v>34316.78</v>
      </c>
      <c r="J121" s="71">
        <v>3857.41</v>
      </c>
      <c r="K121" s="78">
        <v>15921.15</v>
      </c>
      <c r="L121" s="72">
        <f>SUM(M121:O121)</f>
        <v>15849934.619999997</v>
      </c>
      <c r="M121" s="72">
        <f>E121*I121</f>
        <v>10054816.539999999</v>
      </c>
      <c r="N121" s="72">
        <f>E121*J121</f>
        <v>1130221.1299999999</v>
      </c>
      <c r="O121" s="72">
        <f>E121*K121</f>
        <v>4664896.95</v>
      </c>
      <c r="P121" s="74">
        <f t="shared" si="43"/>
        <v>14335265.100000001</v>
      </c>
      <c r="Q121" s="74">
        <f t="shared" si="44"/>
        <v>12766500.24</v>
      </c>
    </row>
    <row r="122" spans="1:17" ht="120">
      <c r="A122" s="201"/>
      <c r="B122" s="199"/>
      <c r="C122" s="15" t="s">
        <v>102</v>
      </c>
      <c r="D122" s="16" t="s">
        <v>101</v>
      </c>
      <c r="E122" s="89">
        <v>6</v>
      </c>
      <c r="F122" s="89">
        <v>5</v>
      </c>
      <c r="G122" s="89">
        <v>5</v>
      </c>
      <c r="H122" s="78">
        <v>22724.03</v>
      </c>
      <c r="I122" s="78">
        <v>22724.03</v>
      </c>
      <c r="J122" s="78" t="s">
        <v>103</v>
      </c>
      <c r="K122" s="78" t="s">
        <v>103</v>
      </c>
      <c r="L122" s="72">
        <f>SUM(M122:O122)</f>
        <v>136344.18</v>
      </c>
      <c r="M122" s="72">
        <f>E122*I122</f>
        <v>136344.18</v>
      </c>
      <c r="N122" s="72" t="s">
        <v>104</v>
      </c>
      <c r="O122" s="77" t="s">
        <v>104</v>
      </c>
      <c r="P122" s="74">
        <f t="shared" si="43"/>
        <v>113620.15</v>
      </c>
      <c r="Q122" s="74">
        <f t="shared" si="44"/>
        <v>113620.15</v>
      </c>
    </row>
    <row r="123" spans="1:17" ht="120">
      <c r="A123" s="201"/>
      <c r="B123" s="199"/>
      <c r="C123" s="9" t="s">
        <v>105</v>
      </c>
      <c r="D123" s="16" t="s">
        <v>101</v>
      </c>
      <c r="E123" s="89">
        <v>3</v>
      </c>
      <c r="F123" s="89">
        <v>3</v>
      </c>
      <c r="G123" s="89">
        <v>3</v>
      </c>
      <c r="H123" s="78">
        <f>SUM(I123:K123)</f>
        <v>166124.72</v>
      </c>
      <c r="I123" s="78">
        <f>145176.96+1169.2</f>
        <v>146346.16</v>
      </c>
      <c r="J123" s="78">
        <v>3857.41</v>
      </c>
      <c r="K123" s="78">
        <v>15921.15</v>
      </c>
      <c r="L123" s="80">
        <f>SUM(M123:O123)</f>
        <v>498374.16</v>
      </c>
      <c r="M123" s="80">
        <f>E123*I123</f>
        <v>439038.48</v>
      </c>
      <c r="N123" s="80">
        <f>E123*J123</f>
        <v>11572.23</v>
      </c>
      <c r="O123" s="80">
        <f>E123*K123</f>
        <v>47763.45</v>
      </c>
      <c r="P123" s="74">
        <f t="shared" si="43"/>
        <v>498374.16000000003</v>
      </c>
      <c r="Q123" s="74">
        <f t="shared" si="44"/>
        <v>498374.16000000003</v>
      </c>
    </row>
    <row r="124" spans="1:17" ht="15">
      <c r="A124" s="201"/>
      <c r="B124" s="63"/>
      <c r="C124" s="21" t="s">
        <v>106</v>
      </c>
      <c r="D124" s="16"/>
      <c r="E124" s="89">
        <f>E121+E123</f>
        <v>296</v>
      </c>
      <c r="F124" s="89">
        <f t="shared" ref="F124:G124" si="63">F121+F123</f>
        <v>268</v>
      </c>
      <c r="G124" s="89">
        <f t="shared" si="63"/>
        <v>239</v>
      </c>
      <c r="H124" s="79" t="s">
        <v>104</v>
      </c>
      <c r="I124" s="79" t="s">
        <v>104</v>
      </c>
      <c r="J124" s="79" t="s">
        <v>104</v>
      </c>
      <c r="K124" s="79" t="s">
        <v>104</v>
      </c>
      <c r="L124" s="79">
        <f t="shared" ref="L124:Q124" si="64">SUM(L121:L123)</f>
        <v>16484652.959999997</v>
      </c>
      <c r="M124" s="79">
        <f t="shared" si="64"/>
        <v>10630199.199999999</v>
      </c>
      <c r="N124" s="79">
        <f t="shared" si="64"/>
        <v>1141793.3599999999</v>
      </c>
      <c r="O124" s="79">
        <f t="shared" si="64"/>
        <v>4712660.4000000004</v>
      </c>
      <c r="P124" s="79">
        <f t="shared" si="64"/>
        <v>14947259.410000002</v>
      </c>
      <c r="Q124" s="79">
        <f t="shared" si="64"/>
        <v>13378494.550000001</v>
      </c>
    </row>
    <row r="125" spans="1:17" ht="90">
      <c r="A125" s="201"/>
      <c r="B125" s="199" t="s">
        <v>108</v>
      </c>
      <c r="C125" s="9" t="s">
        <v>100</v>
      </c>
      <c r="D125" s="10" t="s">
        <v>101</v>
      </c>
      <c r="E125" s="89">
        <v>49</v>
      </c>
      <c r="F125" s="89">
        <v>50</v>
      </c>
      <c r="G125" s="89">
        <v>51</v>
      </c>
      <c r="H125" s="71">
        <f>SUM(I125:K125)</f>
        <v>60807.1</v>
      </c>
      <c r="I125" s="71">
        <f>39660.87+1367.67</f>
        <v>41028.54</v>
      </c>
      <c r="J125" s="71">
        <v>3857.41</v>
      </c>
      <c r="K125" s="78">
        <v>15921.15</v>
      </c>
      <c r="L125" s="80">
        <f>SUM(M125:O125)</f>
        <v>2979547.9</v>
      </c>
      <c r="M125" s="80">
        <f>E125*I125</f>
        <v>2010398.46</v>
      </c>
      <c r="N125" s="80">
        <f>E125*J125</f>
        <v>189013.09</v>
      </c>
      <c r="O125" s="80">
        <f>E125*K125</f>
        <v>780136.35</v>
      </c>
      <c r="P125" s="74">
        <f t="shared" si="43"/>
        <v>3040355</v>
      </c>
      <c r="Q125" s="74">
        <f t="shared" si="44"/>
        <v>3101162.1</v>
      </c>
    </row>
    <row r="126" spans="1:17" ht="120">
      <c r="A126" s="201"/>
      <c r="B126" s="199"/>
      <c r="C126" s="15" t="s">
        <v>102</v>
      </c>
      <c r="D126" s="16" t="s">
        <v>101</v>
      </c>
      <c r="E126" s="89">
        <v>1</v>
      </c>
      <c r="F126" s="89">
        <v>1</v>
      </c>
      <c r="G126" s="89"/>
      <c r="H126" s="78">
        <v>22724.03</v>
      </c>
      <c r="I126" s="78">
        <v>22724.03</v>
      </c>
      <c r="J126" s="78" t="s">
        <v>103</v>
      </c>
      <c r="K126" s="78" t="s">
        <v>103</v>
      </c>
      <c r="L126" s="72">
        <f>SUM(M126:O126)</f>
        <v>22724.03</v>
      </c>
      <c r="M126" s="72">
        <f>E126*I126</f>
        <v>22724.03</v>
      </c>
      <c r="N126" s="72" t="s">
        <v>104</v>
      </c>
      <c r="O126" s="77" t="s">
        <v>104</v>
      </c>
      <c r="P126" s="74">
        <f t="shared" si="43"/>
        <v>22724.03</v>
      </c>
      <c r="Q126" s="74">
        <f t="shared" si="44"/>
        <v>0</v>
      </c>
    </row>
    <row r="127" spans="1:17" ht="120">
      <c r="A127" s="201"/>
      <c r="B127" s="199"/>
      <c r="C127" s="9" t="s">
        <v>105</v>
      </c>
      <c r="D127" s="16" t="s">
        <v>101</v>
      </c>
      <c r="E127" s="89"/>
      <c r="F127" s="89">
        <v>1</v>
      </c>
      <c r="G127" s="89">
        <v>1</v>
      </c>
      <c r="H127" s="78">
        <f>SUM(I127:K127)</f>
        <v>195071.76</v>
      </c>
      <c r="I127" s="78">
        <f>173925.53+1367.67</f>
        <v>175293.2</v>
      </c>
      <c r="J127" s="78">
        <v>3857.41</v>
      </c>
      <c r="K127" s="78">
        <v>15921.15</v>
      </c>
      <c r="L127" s="80"/>
      <c r="M127" s="80"/>
      <c r="N127" s="80"/>
      <c r="O127" s="80"/>
      <c r="P127" s="74">
        <f t="shared" si="43"/>
        <v>195071.76</v>
      </c>
      <c r="Q127" s="74">
        <f t="shared" si="44"/>
        <v>195071.76</v>
      </c>
    </row>
    <row r="128" spans="1:17" ht="15">
      <c r="A128" s="201"/>
      <c r="B128" s="63"/>
      <c r="C128" s="21" t="s">
        <v>106</v>
      </c>
      <c r="D128" s="16"/>
      <c r="E128" s="89">
        <f>E125+E127</f>
        <v>49</v>
      </c>
      <c r="F128" s="89">
        <f t="shared" ref="F128:G128" si="65">F125+F127</f>
        <v>51</v>
      </c>
      <c r="G128" s="89">
        <f t="shared" si="65"/>
        <v>52</v>
      </c>
      <c r="H128" s="79" t="s">
        <v>104</v>
      </c>
      <c r="I128" s="79" t="s">
        <v>104</v>
      </c>
      <c r="J128" s="79" t="s">
        <v>104</v>
      </c>
      <c r="K128" s="79" t="s">
        <v>104</v>
      </c>
      <c r="L128" s="79">
        <f t="shared" ref="L128:Q128" si="66">SUM(L125:L127)</f>
        <v>3002271.9299999997</v>
      </c>
      <c r="M128" s="79">
        <f t="shared" si="66"/>
        <v>2033122.49</v>
      </c>
      <c r="N128" s="79">
        <f t="shared" si="66"/>
        <v>189013.09</v>
      </c>
      <c r="O128" s="79">
        <f t="shared" si="66"/>
        <v>780136.35</v>
      </c>
      <c r="P128" s="79">
        <f t="shared" si="66"/>
        <v>3258150.79</v>
      </c>
      <c r="Q128" s="79">
        <f t="shared" si="66"/>
        <v>3296233.8600000003</v>
      </c>
    </row>
    <row r="129" spans="1:17" ht="165">
      <c r="A129" s="201"/>
      <c r="B129" s="200" t="s">
        <v>109</v>
      </c>
      <c r="C129" s="9" t="s">
        <v>110</v>
      </c>
      <c r="D129" s="16" t="s">
        <v>101</v>
      </c>
      <c r="E129" s="89">
        <v>370</v>
      </c>
      <c r="F129" s="89">
        <v>370</v>
      </c>
      <c r="G129" s="89">
        <v>370</v>
      </c>
      <c r="H129" s="78">
        <f>I129</f>
        <v>2770.76</v>
      </c>
      <c r="I129" s="78">
        <v>2770.76</v>
      </c>
      <c r="J129" s="78" t="s">
        <v>104</v>
      </c>
      <c r="K129" s="78" t="s">
        <v>104</v>
      </c>
      <c r="L129" s="80">
        <f>SUM(M129:O129)</f>
        <v>1025181.2000000001</v>
      </c>
      <c r="M129" s="80">
        <f>I129*E129</f>
        <v>1025181.2000000001</v>
      </c>
      <c r="N129" s="80" t="s">
        <v>104</v>
      </c>
      <c r="O129" s="80" t="s">
        <v>104</v>
      </c>
      <c r="P129" s="74">
        <f t="shared" si="43"/>
        <v>1025181.2000000001</v>
      </c>
      <c r="Q129" s="74">
        <f t="shared" si="44"/>
        <v>1025181.2000000001</v>
      </c>
    </row>
    <row r="130" spans="1:17" ht="180">
      <c r="A130" s="201"/>
      <c r="B130" s="200"/>
      <c r="C130" s="9" t="s">
        <v>111</v>
      </c>
      <c r="D130" s="16" t="s">
        <v>101</v>
      </c>
      <c r="E130" s="90">
        <v>369</v>
      </c>
      <c r="F130" s="90">
        <v>369</v>
      </c>
      <c r="G130" s="90">
        <v>369</v>
      </c>
      <c r="H130" s="78">
        <v>3829.24</v>
      </c>
      <c r="I130" s="78">
        <f>H130</f>
        <v>3829.24</v>
      </c>
      <c r="J130" s="78" t="s">
        <v>104</v>
      </c>
      <c r="K130" s="78" t="s">
        <v>104</v>
      </c>
      <c r="L130" s="80">
        <f>SUM(M130:O130)</f>
        <v>1412989.5599999998</v>
      </c>
      <c r="M130" s="80">
        <f>I130*E130</f>
        <v>1412989.5599999998</v>
      </c>
      <c r="N130" s="81" t="s">
        <v>104</v>
      </c>
      <c r="O130" s="73" t="s">
        <v>104</v>
      </c>
      <c r="P130" s="74">
        <f t="shared" si="43"/>
        <v>1412989.5599999998</v>
      </c>
      <c r="Q130" s="74">
        <f t="shared" si="44"/>
        <v>1412989.5599999998</v>
      </c>
    </row>
    <row r="131" spans="1:17" ht="15">
      <c r="A131" s="201"/>
      <c r="B131" s="29"/>
      <c r="C131" s="21" t="s">
        <v>106</v>
      </c>
      <c r="D131" s="29"/>
      <c r="E131" s="90">
        <f>SUM(E129:E130)</f>
        <v>739</v>
      </c>
      <c r="F131" s="90">
        <f t="shared" ref="F131:G131" si="67">SUM(F129:F130)</f>
        <v>739</v>
      </c>
      <c r="G131" s="89">
        <f t="shared" si="67"/>
        <v>739</v>
      </c>
      <c r="H131" s="79" t="s">
        <v>104</v>
      </c>
      <c r="I131" s="79" t="s">
        <v>104</v>
      </c>
      <c r="J131" s="79" t="s">
        <v>104</v>
      </c>
      <c r="K131" s="79">
        <f t="shared" ref="K131:O131" si="68">SUM(K129:K130)</f>
        <v>0</v>
      </c>
      <c r="L131" s="79">
        <f t="shared" si="68"/>
        <v>2438170.7599999998</v>
      </c>
      <c r="M131" s="79">
        <f t="shared" si="68"/>
        <v>2438170.7599999998</v>
      </c>
      <c r="N131" s="79">
        <f t="shared" si="68"/>
        <v>0</v>
      </c>
      <c r="O131" s="79">
        <f t="shared" si="68"/>
        <v>0</v>
      </c>
      <c r="P131" s="74">
        <f>SUM(P129:P130)</f>
        <v>2438170.7599999998</v>
      </c>
      <c r="Q131" s="74">
        <f>SUM(Q129:Q130)</f>
        <v>2438170.7599999998</v>
      </c>
    </row>
    <row r="132" spans="1:17" ht="14.25">
      <c r="A132" s="201"/>
      <c r="B132" s="30" t="s">
        <v>112</v>
      </c>
      <c r="C132" s="30"/>
      <c r="D132" s="29"/>
      <c r="E132" s="90"/>
      <c r="F132" s="90"/>
      <c r="G132" s="90"/>
      <c r="H132" s="73"/>
      <c r="I132" s="73"/>
      <c r="J132" s="73"/>
      <c r="K132" s="73"/>
      <c r="L132" s="73">
        <f>SUM(M132:O132)</f>
        <v>28730896.199999999</v>
      </c>
      <c r="M132" s="73">
        <f t="shared" ref="M132:Q132" si="69">M120+M124+M128+M131</f>
        <v>18802059.079999998</v>
      </c>
      <c r="N132" s="73">
        <f t="shared" si="69"/>
        <v>1936419.82</v>
      </c>
      <c r="O132" s="73">
        <f t="shared" si="69"/>
        <v>7992417.2999999998</v>
      </c>
      <c r="P132" s="73">
        <f t="shared" si="69"/>
        <v>28554186.609999999</v>
      </c>
      <c r="Q132" s="73">
        <f t="shared" si="69"/>
        <v>28315291.919999994</v>
      </c>
    </row>
    <row r="133" spans="1:17" ht="90">
      <c r="A133" s="201" t="s">
        <v>115</v>
      </c>
      <c r="B133" s="199" t="s">
        <v>99</v>
      </c>
      <c r="C133" s="9" t="s">
        <v>100</v>
      </c>
      <c r="D133" s="10" t="s">
        <v>101</v>
      </c>
      <c r="E133" s="87">
        <v>195</v>
      </c>
      <c r="F133" s="87">
        <v>199</v>
      </c>
      <c r="G133" s="87">
        <v>200</v>
      </c>
      <c r="H133" s="71">
        <f>SUM(I133:K133)</f>
        <v>43059.57</v>
      </c>
      <c r="I133" s="71">
        <f>22328.93+952.08</f>
        <v>23281.010000000002</v>
      </c>
      <c r="J133" s="71">
        <v>3857.41</v>
      </c>
      <c r="K133" s="71">
        <v>15921.15</v>
      </c>
      <c r="L133" s="72">
        <f>SUM(M133:O133)</f>
        <v>8396616.1500000004</v>
      </c>
      <c r="M133" s="72">
        <f>E133*I133</f>
        <v>4539796.95</v>
      </c>
      <c r="N133" s="72">
        <f>E133*J133</f>
        <v>752194.95</v>
      </c>
      <c r="O133" s="74">
        <f>E133*K133</f>
        <v>3104624.25</v>
      </c>
      <c r="P133" s="74">
        <f t="shared" si="43"/>
        <v>8568854.4299999997</v>
      </c>
      <c r="Q133" s="74">
        <f t="shared" si="44"/>
        <v>8611914</v>
      </c>
    </row>
    <row r="134" spans="1:17" ht="120">
      <c r="A134" s="201"/>
      <c r="B134" s="199"/>
      <c r="C134" s="15" t="s">
        <v>102</v>
      </c>
      <c r="D134" s="16" t="s">
        <v>101</v>
      </c>
      <c r="E134" s="88">
        <v>4</v>
      </c>
      <c r="F134" s="88">
        <v>12</v>
      </c>
      <c r="G134" s="88">
        <v>18</v>
      </c>
      <c r="H134" s="78">
        <v>22724.03</v>
      </c>
      <c r="I134" s="78">
        <v>22724.03</v>
      </c>
      <c r="J134" s="78" t="s">
        <v>103</v>
      </c>
      <c r="K134" s="78" t="s">
        <v>103</v>
      </c>
      <c r="L134" s="72">
        <f>SUM(M134:O134)</f>
        <v>90896.12</v>
      </c>
      <c r="M134" s="72">
        <f>E134*I134</f>
        <v>90896.12</v>
      </c>
      <c r="N134" s="72" t="s">
        <v>104</v>
      </c>
      <c r="O134" s="77" t="s">
        <v>104</v>
      </c>
      <c r="P134" s="74">
        <f t="shared" si="43"/>
        <v>272688.36</v>
      </c>
      <c r="Q134" s="74">
        <f t="shared" si="44"/>
        <v>409032.54</v>
      </c>
    </row>
    <row r="135" spans="1:17" ht="120">
      <c r="A135" s="201"/>
      <c r="B135" s="199"/>
      <c r="C135" s="9" t="s">
        <v>105</v>
      </c>
      <c r="D135" s="16" t="s">
        <v>101</v>
      </c>
      <c r="E135" s="87">
        <v>3</v>
      </c>
      <c r="F135" s="87">
        <v>5</v>
      </c>
      <c r="G135" s="87">
        <v>5</v>
      </c>
      <c r="H135" s="78">
        <f>SUM(I135:K135)</f>
        <v>137159.02000000002</v>
      </c>
      <c r="I135" s="78">
        <f>116428.38+952.08</f>
        <v>117380.46</v>
      </c>
      <c r="J135" s="78">
        <v>3857.41</v>
      </c>
      <c r="K135" s="78">
        <v>15921.15</v>
      </c>
      <c r="L135" s="72">
        <f>SUM(M135:O135)</f>
        <v>411477.06</v>
      </c>
      <c r="M135" s="72">
        <f>E135*I135</f>
        <v>352141.38</v>
      </c>
      <c r="N135" s="72">
        <f>E135*J135</f>
        <v>11572.23</v>
      </c>
      <c r="O135" s="74">
        <f>E135*K135</f>
        <v>47763.45</v>
      </c>
      <c r="P135" s="74">
        <f t="shared" si="43"/>
        <v>685795.10000000009</v>
      </c>
      <c r="Q135" s="74">
        <f t="shared" si="44"/>
        <v>685795.10000000009</v>
      </c>
    </row>
    <row r="136" spans="1:17" ht="15">
      <c r="A136" s="201"/>
      <c r="B136" s="199"/>
      <c r="C136" s="21" t="s">
        <v>106</v>
      </c>
      <c r="D136" s="22"/>
      <c r="E136" s="87">
        <f>E133+E135</f>
        <v>198</v>
      </c>
      <c r="F136" s="87">
        <f t="shared" ref="F136:G136" si="70">F133+F135</f>
        <v>204</v>
      </c>
      <c r="G136" s="87">
        <f t="shared" si="70"/>
        <v>205</v>
      </c>
      <c r="H136" s="72" t="s">
        <v>104</v>
      </c>
      <c r="I136" s="72" t="s">
        <v>104</v>
      </c>
      <c r="J136" s="72" t="s">
        <v>104</v>
      </c>
      <c r="K136" s="72" t="s">
        <v>104</v>
      </c>
      <c r="L136" s="72">
        <f t="shared" ref="L136:Q136" si="71">SUM(L133:L135)</f>
        <v>8898989.3300000001</v>
      </c>
      <c r="M136" s="72">
        <f t="shared" si="71"/>
        <v>4982834.45</v>
      </c>
      <c r="N136" s="72">
        <f t="shared" si="71"/>
        <v>763767.17999999993</v>
      </c>
      <c r="O136" s="72">
        <f t="shared" si="71"/>
        <v>3152387.7</v>
      </c>
      <c r="P136" s="72">
        <f t="shared" si="71"/>
        <v>9527337.8899999987</v>
      </c>
      <c r="Q136" s="72">
        <f t="shared" si="71"/>
        <v>9706741.6399999987</v>
      </c>
    </row>
    <row r="137" spans="1:17" ht="90">
      <c r="A137" s="201"/>
      <c r="B137" s="199" t="s">
        <v>107</v>
      </c>
      <c r="C137" s="9" t="s">
        <v>100</v>
      </c>
      <c r="D137" s="10" t="s">
        <v>101</v>
      </c>
      <c r="E137" s="87">
        <v>171</v>
      </c>
      <c r="F137" s="87">
        <v>180</v>
      </c>
      <c r="G137" s="87">
        <v>185</v>
      </c>
      <c r="H137" s="71">
        <f>SUM(I137:K137)</f>
        <v>54095.340000000004</v>
      </c>
      <c r="I137" s="71">
        <f>33147.58+1169.2</f>
        <v>34316.78</v>
      </c>
      <c r="J137" s="71">
        <v>3857.41</v>
      </c>
      <c r="K137" s="78">
        <v>15921.15</v>
      </c>
      <c r="L137" s="72">
        <f>SUM(M137:O137)</f>
        <v>9250303.1400000006</v>
      </c>
      <c r="M137" s="72">
        <f>E137*I137</f>
        <v>5868169.3799999999</v>
      </c>
      <c r="N137" s="72">
        <f>E137*J137</f>
        <v>659617.11</v>
      </c>
      <c r="O137" s="72">
        <f>E137*K137</f>
        <v>2722516.65</v>
      </c>
      <c r="P137" s="74">
        <f t="shared" si="43"/>
        <v>9737161.2000000011</v>
      </c>
      <c r="Q137" s="74">
        <f t="shared" si="44"/>
        <v>10007637.9</v>
      </c>
    </row>
    <row r="138" spans="1:17" ht="120">
      <c r="A138" s="201"/>
      <c r="B138" s="199"/>
      <c r="C138" s="15" t="s">
        <v>102</v>
      </c>
      <c r="D138" s="16" t="s">
        <v>101</v>
      </c>
      <c r="E138" s="89"/>
      <c r="F138" s="89"/>
      <c r="G138" s="89"/>
      <c r="H138" s="78">
        <v>22724.03</v>
      </c>
      <c r="I138" s="78">
        <v>22724.03</v>
      </c>
      <c r="J138" s="78" t="s">
        <v>103</v>
      </c>
      <c r="K138" s="78" t="s">
        <v>103</v>
      </c>
      <c r="L138" s="72">
        <f>SUM(M138:O138)</f>
        <v>0</v>
      </c>
      <c r="M138" s="72">
        <f>E138*I138</f>
        <v>0</v>
      </c>
      <c r="N138" s="72" t="s">
        <v>104</v>
      </c>
      <c r="O138" s="77" t="s">
        <v>104</v>
      </c>
      <c r="P138" s="74">
        <f t="shared" si="43"/>
        <v>0</v>
      </c>
      <c r="Q138" s="74">
        <f t="shared" si="44"/>
        <v>0</v>
      </c>
    </row>
    <row r="139" spans="1:17" ht="120">
      <c r="A139" s="201"/>
      <c r="B139" s="199"/>
      <c r="C139" s="9" t="s">
        <v>105</v>
      </c>
      <c r="D139" s="16" t="s">
        <v>101</v>
      </c>
      <c r="E139" s="89">
        <v>2</v>
      </c>
      <c r="F139" s="89">
        <v>2</v>
      </c>
      <c r="G139" s="89">
        <v>2</v>
      </c>
      <c r="H139" s="78">
        <f>SUM(I139:K139)</f>
        <v>166124.72</v>
      </c>
      <c r="I139" s="78">
        <f>145176.96+1169.2</f>
        <v>146346.16</v>
      </c>
      <c r="J139" s="78">
        <v>3857.41</v>
      </c>
      <c r="K139" s="78">
        <v>15921.15</v>
      </c>
      <c r="L139" s="80">
        <f>SUM(M139:O139)</f>
        <v>332249.44</v>
      </c>
      <c r="M139" s="80">
        <f>E139*I139</f>
        <v>292692.32</v>
      </c>
      <c r="N139" s="80">
        <f>E139*J139</f>
        <v>7714.82</v>
      </c>
      <c r="O139" s="80">
        <f>E139*K139</f>
        <v>31842.3</v>
      </c>
      <c r="P139" s="74">
        <f t="shared" si="43"/>
        <v>332249.44</v>
      </c>
      <c r="Q139" s="74">
        <f t="shared" si="44"/>
        <v>332249.44</v>
      </c>
    </row>
    <row r="140" spans="1:17" ht="15">
      <c r="A140" s="201"/>
      <c r="B140" s="63"/>
      <c r="C140" s="21" t="s">
        <v>106</v>
      </c>
      <c r="D140" s="16"/>
      <c r="E140" s="89">
        <f>E137+E139</f>
        <v>173</v>
      </c>
      <c r="F140" s="89">
        <f t="shared" ref="F140:G140" si="72">F137+F139</f>
        <v>182</v>
      </c>
      <c r="G140" s="89">
        <f t="shared" si="72"/>
        <v>187</v>
      </c>
      <c r="H140" s="79" t="s">
        <v>104</v>
      </c>
      <c r="I140" s="79" t="s">
        <v>104</v>
      </c>
      <c r="J140" s="79" t="s">
        <v>104</v>
      </c>
      <c r="K140" s="79" t="s">
        <v>104</v>
      </c>
      <c r="L140" s="79">
        <f t="shared" ref="L140:Q140" si="73">SUM(L137:L139)</f>
        <v>9582552.5800000001</v>
      </c>
      <c r="M140" s="79">
        <f t="shared" si="73"/>
        <v>6160861.7000000002</v>
      </c>
      <c r="N140" s="79">
        <f t="shared" si="73"/>
        <v>667331.92999999993</v>
      </c>
      <c r="O140" s="79">
        <f t="shared" si="73"/>
        <v>2754358.9499999997</v>
      </c>
      <c r="P140" s="79">
        <f t="shared" si="73"/>
        <v>10069410.640000001</v>
      </c>
      <c r="Q140" s="79">
        <f t="shared" si="73"/>
        <v>10339887.34</v>
      </c>
    </row>
    <row r="141" spans="1:17" ht="90">
      <c r="A141" s="201"/>
      <c r="B141" s="199" t="s">
        <v>108</v>
      </c>
      <c r="C141" s="9" t="s">
        <v>100</v>
      </c>
      <c r="D141" s="10" t="s">
        <v>101</v>
      </c>
      <c r="E141" s="89">
        <v>35</v>
      </c>
      <c r="F141" s="89">
        <v>39</v>
      </c>
      <c r="G141" s="89">
        <v>40</v>
      </c>
      <c r="H141" s="71">
        <f>SUM(I141:K141)</f>
        <v>60807.1</v>
      </c>
      <c r="I141" s="71">
        <f>39660.87+1367.67</f>
        <v>41028.54</v>
      </c>
      <c r="J141" s="71">
        <v>3857.41</v>
      </c>
      <c r="K141" s="78">
        <v>15921.15</v>
      </c>
      <c r="L141" s="80">
        <f>SUM(M141:O141)</f>
        <v>2128248.5</v>
      </c>
      <c r="M141" s="80">
        <f>E141*I141</f>
        <v>1435998.9000000001</v>
      </c>
      <c r="N141" s="80">
        <f>E141*J141</f>
        <v>135009.35</v>
      </c>
      <c r="O141" s="80">
        <f>E141*K141</f>
        <v>557240.25</v>
      </c>
      <c r="P141" s="74">
        <f t="shared" si="43"/>
        <v>2371476.9</v>
      </c>
      <c r="Q141" s="74">
        <f t="shared" si="44"/>
        <v>2432284</v>
      </c>
    </row>
    <row r="142" spans="1:17" ht="120">
      <c r="A142" s="201"/>
      <c r="B142" s="199"/>
      <c r="C142" s="15" t="s">
        <v>102</v>
      </c>
      <c r="D142" s="16" t="s">
        <v>101</v>
      </c>
      <c r="E142" s="89">
        <v>1</v>
      </c>
      <c r="F142" s="89"/>
      <c r="G142" s="89"/>
      <c r="H142" s="78">
        <v>22724.03</v>
      </c>
      <c r="I142" s="78">
        <v>22724.03</v>
      </c>
      <c r="J142" s="78" t="s">
        <v>103</v>
      </c>
      <c r="K142" s="78" t="s">
        <v>103</v>
      </c>
      <c r="L142" s="72">
        <f>SUM(M142:O142)</f>
        <v>22724.03</v>
      </c>
      <c r="M142" s="72">
        <f>E142*I142</f>
        <v>22724.03</v>
      </c>
      <c r="N142" s="72" t="s">
        <v>104</v>
      </c>
      <c r="O142" s="77" t="s">
        <v>104</v>
      </c>
      <c r="P142" s="74">
        <f t="shared" si="43"/>
        <v>0</v>
      </c>
      <c r="Q142" s="74">
        <f t="shared" si="44"/>
        <v>0</v>
      </c>
    </row>
    <row r="143" spans="1:17" ht="120">
      <c r="A143" s="201"/>
      <c r="B143" s="199"/>
      <c r="C143" s="9" t="s">
        <v>105</v>
      </c>
      <c r="D143" s="16" t="s">
        <v>101</v>
      </c>
      <c r="E143" s="89"/>
      <c r="F143" s="89">
        <v>1</v>
      </c>
      <c r="G143" s="89">
        <v>1</v>
      </c>
      <c r="H143" s="78">
        <f>SUM(I143:K143)</f>
        <v>195071.76</v>
      </c>
      <c r="I143" s="78">
        <f>173925.53+1367.67</f>
        <v>175293.2</v>
      </c>
      <c r="J143" s="78">
        <v>3857.41</v>
      </c>
      <c r="K143" s="78">
        <v>15921.15</v>
      </c>
      <c r="L143" s="80"/>
      <c r="M143" s="80"/>
      <c r="N143" s="80"/>
      <c r="O143" s="80"/>
      <c r="P143" s="74">
        <f t="shared" si="43"/>
        <v>195071.76</v>
      </c>
      <c r="Q143" s="74">
        <f t="shared" si="44"/>
        <v>195071.76</v>
      </c>
    </row>
    <row r="144" spans="1:17" ht="15">
      <c r="A144" s="201"/>
      <c r="B144" s="63"/>
      <c r="C144" s="21" t="s">
        <v>106</v>
      </c>
      <c r="D144" s="16"/>
      <c r="E144" s="89">
        <f>E141+E143</f>
        <v>35</v>
      </c>
      <c r="F144" s="89">
        <f t="shared" ref="F144:G144" si="74">F141+F143</f>
        <v>40</v>
      </c>
      <c r="G144" s="89">
        <f t="shared" si="74"/>
        <v>41</v>
      </c>
      <c r="H144" s="79" t="s">
        <v>104</v>
      </c>
      <c r="I144" s="79" t="s">
        <v>104</v>
      </c>
      <c r="J144" s="79" t="s">
        <v>104</v>
      </c>
      <c r="K144" s="79" t="s">
        <v>104</v>
      </c>
      <c r="L144" s="79">
        <f t="shared" ref="L144:Q144" si="75">SUM(L141:L143)</f>
        <v>2150972.5299999998</v>
      </c>
      <c r="M144" s="79">
        <f t="shared" si="75"/>
        <v>1458722.9300000002</v>
      </c>
      <c r="N144" s="79">
        <f t="shared" si="75"/>
        <v>135009.35</v>
      </c>
      <c r="O144" s="79">
        <f t="shared" si="75"/>
        <v>557240.25</v>
      </c>
      <c r="P144" s="79">
        <f t="shared" si="75"/>
        <v>2566548.66</v>
      </c>
      <c r="Q144" s="79">
        <f t="shared" si="75"/>
        <v>2627355.7599999998</v>
      </c>
    </row>
    <row r="145" spans="1:17" ht="165">
      <c r="A145" s="201"/>
      <c r="B145" s="200" t="s">
        <v>109</v>
      </c>
      <c r="C145" s="9" t="s">
        <v>110</v>
      </c>
      <c r="D145" s="16" t="s">
        <v>101</v>
      </c>
      <c r="E145" s="89">
        <v>258</v>
      </c>
      <c r="F145" s="89">
        <v>268</v>
      </c>
      <c r="G145" s="89">
        <v>271</v>
      </c>
      <c r="H145" s="78">
        <f>I145</f>
        <v>2770.76</v>
      </c>
      <c r="I145" s="78">
        <v>2770.76</v>
      </c>
      <c r="J145" s="78" t="s">
        <v>104</v>
      </c>
      <c r="K145" s="78" t="s">
        <v>104</v>
      </c>
      <c r="L145" s="80">
        <f>SUM(M145:O145)</f>
        <v>714856.08000000007</v>
      </c>
      <c r="M145" s="80">
        <f>I145*E145</f>
        <v>714856.08000000007</v>
      </c>
      <c r="N145" s="80" t="s">
        <v>104</v>
      </c>
      <c r="O145" s="80" t="s">
        <v>104</v>
      </c>
      <c r="P145" s="74">
        <f t="shared" si="43"/>
        <v>742563.68</v>
      </c>
      <c r="Q145" s="74">
        <f t="shared" si="44"/>
        <v>750875.96000000008</v>
      </c>
    </row>
    <row r="146" spans="1:17" ht="180">
      <c r="A146" s="201"/>
      <c r="B146" s="200"/>
      <c r="C146" s="9" t="s">
        <v>111</v>
      </c>
      <c r="D146" s="16" t="s">
        <v>101</v>
      </c>
      <c r="E146" s="90">
        <v>206</v>
      </c>
      <c r="F146" s="90">
        <v>214</v>
      </c>
      <c r="G146" s="90">
        <v>216</v>
      </c>
      <c r="H146" s="78">
        <v>3829.24</v>
      </c>
      <c r="I146" s="78">
        <f>H146</f>
        <v>3829.24</v>
      </c>
      <c r="J146" s="78" t="s">
        <v>104</v>
      </c>
      <c r="K146" s="78" t="s">
        <v>104</v>
      </c>
      <c r="L146" s="80">
        <f>SUM(M146:O146)</f>
        <v>788823.44</v>
      </c>
      <c r="M146" s="80">
        <f>I146*E146</f>
        <v>788823.44</v>
      </c>
      <c r="N146" s="81" t="s">
        <v>104</v>
      </c>
      <c r="O146" s="73" t="s">
        <v>104</v>
      </c>
      <c r="P146" s="74">
        <f t="shared" si="43"/>
        <v>819457.36</v>
      </c>
      <c r="Q146" s="74">
        <f t="shared" si="44"/>
        <v>827115.84</v>
      </c>
    </row>
    <row r="147" spans="1:17" ht="15">
      <c r="A147" s="201"/>
      <c r="B147" s="29"/>
      <c r="C147" s="21" t="s">
        <v>106</v>
      </c>
      <c r="D147" s="29"/>
      <c r="E147" s="90">
        <f>SUM(E145:E146)</f>
        <v>464</v>
      </c>
      <c r="F147" s="90">
        <f t="shared" ref="F147:G147" si="76">SUM(F145:F146)</f>
        <v>482</v>
      </c>
      <c r="G147" s="89">
        <f t="shared" si="76"/>
        <v>487</v>
      </c>
      <c r="H147" s="79" t="s">
        <v>104</v>
      </c>
      <c r="I147" s="79" t="s">
        <v>104</v>
      </c>
      <c r="J147" s="79" t="s">
        <v>104</v>
      </c>
      <c r="K147" s="79">
        <f t="shared" ref="K147:O147" si="77">SUM(K145:K146)</f>
        <v>0</v>
      </c>
      <c r="L147" s="79">
        <f t="shared" si="77"/>
        <v>1503679.52</v>
      </c>
      <c r="M147" s="79">
        <f t="shared" si="77"/>
        <v>1503679.52</v>
      </c>
      <c r="N147" s="79">
        <f t="shared" si="77"/>
        <v>0</v>
      </c>
      <c r="O147" s="79">
        <f t="shared" si="77"/>
        <v>0</v>
      </c>
      <c r="P147" s="74">
        <f>SUM(P145:P146)</f>
        <v>1562021.04</v>
      </c>
      <c r="Q147" s="74">
        <f>SUM(Q145:Q146)</f>
        <v>1577991.8</v>
      </c>
    </row>
    <row r="148" spans="1:17" ht="14.25">
      <c r="A148" s="201"/>
      <c r="B148" s="30" t="s">
        <v>112</v>
      </c>
      <c r="C148" s="30"/>
      <c r="D148" s="29"/>
      <c r="E148" s="90"/>
      <c r="F148" s="90"/>
      <c r="G148" s="90"/>
      <c r="H148" s="73"/>
      <c r="I148" s="73"/>
      <c r="J148" s="73"/>
      <c r="K148" s="73"/>
      <c r="L148" s="73">
        <f>SUM(M148:O148)</f>
        <v>22136193.960000001</v>
      </c>
      <c r="M148" s="73">
        <f t="shared" ref="M148:Q148" si="78">M136+M140+M144+M147</f>
        <v>14106098.6</v>
      </c>
      <c r="N148" s="73">
        <f t="shared" si="78"/>
        <v>1566108.46</v>
      </c>
      <c r="O148" s="73">
        <f t="shared" si="78"/>
        <v>6463986.9000000004</v>
      </c>
      <c r="P148" s="73">
        <f t="shared" si="78"/>
        <v>23725318.23</v>
      </c>
      <c r="Q148" s="73">
        <f t="shared" si="78"/>
        <v>24251976.539999995</v>
      </c>
    </row>
    <row r="149" spans="1:17" ht="90">
      <c r="A149" s="201" t="s">
        <v>116</v>
      </c>
      <c r="B149" s="199" t="s">
        <v>99</v>
      </c>
      <c r="C149" s="9" t="s">
        <v>100</v>
      </c>
      <c r="D149" s="10" t="s">
        <v>101</v>
      </c>
      <c r="E149" s="87">
        <v>309</v>
      </c>
      <c r="F149" s="87">
        <v>320</v>
      </c>
      <c r="G149" s="87">
        <v>320</v>
      </c>
      <c r="H149" s="71">
        <f>SUM(I149:K149)</f>
        <v>43059.57</v>
      </c>
      <c r="I149" s="71">
        <f>22328.93+952.08</f>
        <v>23281.010000000002</v>
      </c>
      <c r="J149" s="71">
        <v>3857.41</v>
      </c>
      <c r="K149" s="71">
        <v>15921.15</v>
      </c>
      <c r="L149" s="72">
        <f>SUM(M149:O149)</f>
        <v>13305407.130000001</v>
      </c>
      <c r="M149" s="72">
        <f>E149*I149</f>
        <v>7193832.0900000008</v>
      </c>
      <c r="N149" s="72">
        <f>E149*J149</f>
        <v>1191939.69</v>
      </c>
      <c r="O149" s="74">
        <f>E149*K149</f>
        <v>4919635.3499999996</v>
      </c>
      <c r="P149" s="74">
        <f t="shared" si="43"/>
        <v>13779062.4</v>
      </c>
      <c r="Q149" s="74">
        <f t="shared" si="44"/>
        <v>13779062.4</v>
      </c>
    </row>
    <row r="150" spans="1:17" ht="120">
      <c r="A150" s="201"/>
      <c r="B150" s="199"/>
      <c r="C150" s="15" t="s">
        <v>102</v>
      </c>
      <c r="D150" s="16" t="s">
        <v>101</v>
      </c>
      <c r="E150" s="88">
        <v>3</v>
      </c>
      <c r="F150" s="88">
        <v>3</v>
      </c>
      <c r="G150" s="88">
        <v>3</v>
      </c>
      <c r="H150" s="78">
        <v>22724.03</v>
      </c>
      <c r="I150" s="78">
        <v>22724.03</v>
      </c>
      <c r="J150" s="78" t="s">
        <v>103</v>
      </c>
      <c r="K150" s="78" t="s">
        <v>103</v>
      </c>
      <c r="L150" s="72">
        <f>SUM(M150:O150)</f>
        <v>68172.09</v>
      </c>
      <c r="M150" s="72">
        <f>E150*I150</f>
        <v>68172.09</v>
      </c>
      <c r="N150" s="72" t="s">
        <v>104</v>
      </c>
      <c r="O150" s="77" t="s">
        <v>104</v>
      </c>
      <c r="P150" s="74">
        <f t="shared" ref="P150:P165" si="79">F150*H150</f>
        <v>68172.09</v>
      </c>
      <c r="Q150" s="74">
        <f t="shared" ref="Q150:Q165" si="80">G150*H150</f>
        <v>68172.09</v>
      </c>
    </row>
    <row r="151" spans="1:17" ht="120">
      <c r="A151" s="201"/>
      <c r="B151" s="199"/>
      <c r="C151" s="9" t="s">
        <v>105</v>
      </c>
      <c r="D151" s="16" t="s">
        <v>101</v>
      </c>
      <c r="E151" s="87">
        <v>2</v>
      </c>
      <c r="F151" s="87">
        <v>2</v>
      </c>
      <c r="G151" s="87">
        <v>2</v>
      </c>
      <c r="H151" s="78">
        <f>SUM(I151:K151)</f>
        <v>137159.02000000002</v>
      </c>
      <c r="I151" s="78">
        <f>116428.38+952.08</f>
        <v>117380.46</v>
      </c>
      <c r="J151" s="78">
        <v>3857.41</v>
      </c>
      <c r="K151" s="78">
        <v>15921.15</v>
      </c>
      <c r="L151" s="72">
        <f>SUM(M151:O151)</f>
        <v>274318.04000000004</v>
      </c>
      <c r="M151" s="72">
        <f>E151*I151</f>
        <v>234760.92</v>
      </c>
      <c r="N151" s="72">
        <f>E151*J151</f>
        <v>7714.82</v>
      </c>
      <c r="O151" s="74">
        <f>E151*K151</f>
        <v>31842.3</v>
      </c>
      <c r="P151" s="74">
        <f t="shared" si="79"/>
        <v>274318.04000000004</v>
      </c>
      <c r="Q151" s="74">
        <f t="shared" si="80"/>
        <v>274318.04000000004</v>
      </c>
    </row>
    <row r="152" spans="1:17" ht="105">
      <c r="A152" s="201"/>
      <c r="B152" s="63"/>
      <c r="C152" s="9" t="s">
        <v>117</v>
      </c>
      <c r="D152" s="16" t="s">
        <v>101</v>
      </c>
      <c r="E152" s="87">
        <v>4</v>
      </c>
      <c r="F152" s="87">
        <v>4</v>
      </c>
      <c r="G152" s="87">
        <v>4</v>
      </c>
      <c r="H152" s="78">
        <f>I152</f>
        <v>20712.060000000001</v>
      </c>
      <c r="I152" s="78">
        <v>20712.060000000001</v>
      </c>
      <c r="J152" s="78" t="s">
        <v>104</v>
      </c>
      <c r="K152" s="78" t="s">
        <v>104</v>
      </c>
      <c r="L152" s="72">
        <f>SUM(M152:O152)</f>
        <v>82848.240000000005</v>
      </c>
      <c r="M152" s="72">
        <f>E152*I152</f>
        <v>82848.240000000005</v>
      </c>
      <c r="N152" s="72"/>
      <c r="O152" s="72"/>
      <c r="P152" s="74">
        <f t="shared" si="79"/>
        <v>82848.240000000005</v>
      </c>
      <c r="Q152" s="74">
        <f t="shared" si="80"/>
        <v>82848.240000000005</v>
      </c>
    </row>
    <row r="153" spans="1:17" ht="15">
      <c r="A153" s="201"/>
      <c r="B153" s="63"/>
      <c r="C153" s="21" t="s">
        <v>106</v>
      </c>
      <c r="D153" s="22"/>
      <c r="E153" s="87">
        <f>E149+E151</f>
        <v>311</v>
      </c>
      <c r="F153" s="87">
        <f t="shared" ref="F153:G153" si="81">F149+F151</f>
        <v>322</v>
      </c>
      <c r="G153" s="87">
        <f t="shared" si="81"/>
        <v>322</v>
      </c>
      <c r="H153" s="72" t="s">
        <v>104</v>
      </c>
      <c r="I153" s="72" t="s">
        <v>104</v>
      </c>
      <c r="J153" s="72" t="s">
        <v>104</v>
      </c>
      <c r="K153" s="72" t="s">
        <v>104</v>
      </c>
      <c r="L153" s="72">
        <f>SUM(L149:L152)</f>
        <v>13730745.500000002</v>
      </c>
      <c r="M153" s="72">
        <f t="shared" ref="M153:Q153" si="82">SUM(M149:M152)</f>
        <v>7579613.3400000008</v>
      </c>
      <c r="N153" s="72">
        <f t="shared" si="82"/>
        <v>1199654.51</v>
      </c>
      <c r="O153" s="72">
        <f t="shared" si="82"/>
        <v>4951477.6499999994</v>
      </c>
      <c r="P153" s="72">
        <f t="shared" si="82"/>
        <v>14204400.770000001</v>
      </c>
      <c r="Q153" s="72">
        <f t="shared" si="82"/>
        <v>14204400.770000001</v>
      </c>
    </row>
    <row r="154" spans="1:17" ht="90">
      <c r="A154" s="201"/>
      <c r="B154" s="199" t="s">
        <v>107</v>
      </c>
      <c r="C154" s="9" t="s">
        <v>100</v>
      </c>
      <c r="D154" s="10" t="s">
        <v>101</v>
      </c>
      <c r="E154" s="87">
        <v>57</v>
      </c>
      <c r="F154" s="87">
        <v>50</v>
      </c>
      <c r="G154" s="87">
        <v>53</v>
      </c>
      <c r="H154" s="71">
        <f>SUM(I154:K154)</f>
        <v>54095.340000000004</v>
      </c>
      <c r="I154" s="71">
        <f>33147.58+1169.2</f>
        <v>34316.78</v>
      </c>
      <c r="J154" s="71">
        <v>3857.41</v>
      </c>
      <c r="K154" s="78">
        <v>15921.15</v>
      </c>
      <c r="L154" s="72">
        <f>SUM(M154:O154)</f>
        <v>3083434.38</v>
      </c>
      <c r="M154" s="72">
        <f>E154*I154</f>
        <v>1956056.46</v>
      </c>
      <c r="N154" s="72">
        <f>E154*J154</f>
        <v>219872.37</v>
      </c>
      <c r="O154" s="72">
        <f>E154*K154</f>
        <v>907505.54999999993</v>
      </c>
      <c r="P154" s="74">
        <f t="shared" si="79"/>
        <v>2704767</v>
      </c>
      <c r="Q154" s="74">
        <f t="shared" si="80"/>
        <v>2867053.02</v>
      </c>
    </row>
    <row r="155" spans="1:17" ht="120">
      <c r="A155" s="201"/>
      <c r="B155" s="199"/>
      <c r="C155" s="9" t="s">
        <v>118</v>
      </c>
      <c r="D155" s="10" t="s">
        <v>101</v>
      </c>
      <c r="E155" s="87">
        <v>326</v>
      </c>
      <c r="F155" s="87">
        <v>315</v>
      </c>
      <c r="G155" s="87">
        <v>327</v>
      </c>
      <c r="H155" s="71">
        <f>SUM(I155:K155)</f>
        <v>57407.18</v>
      </c>
      <c r="I155" s="71">
        <f>36459.42+1169.2</f>
        <v>37628.619999999995</v>
      </c>
      <c r="J155" s="71">
        <v>3857.41</v>
      </c>
      <c r="K155" s="78">
        <v>15921.15</v>
      </c>
      <c r="L155" s="72">
        <f>SUM(M155:O155)</f>
        <v>18714740.68</v>
      </c>
      <c r="M155" s="72">
        <f>E155*I155</f>
        <v>12266930.119999999</v>
      </c>
      <c r="N155" s="72">
        <f>E155*J155</f>
        <v>1257515.6599999999</v>
      </c>
      <c r="O155" s="72">
        <f>E155*K155</f>
        <v>5190294.8999999994</v>
      </c>
      <c r="P155" s="74">
        <f t="shared" si="79"/>
        <v>18083261.699999999</v>
      </c>
      <c r="Q155" s="74">
        <f t="shared" si="80"/>
        <v>18772147.859999999</v>
      </c>
    </row>
    <row r="156" spans="1:17" ht="120">
      <c r="A156" s="201"/>
      <c r="B156" s="199"/>
      <c r="C156" s="15" t="s">
        <v>102</v>
      </c>
      <c r="D156" s="16" t="s">
        <v>101</v>
      </c>
      <c r="E156" s="89">
        <v>1</v>
      </c>
      <c r="F156" s="89">
        <v>1</v>
      </c>
      <c r="G156" s="89">
        <v>1</v>
      </c>
      <c r="H156" s="78">
        <v>22724.03</v>
      </c>
      <c r="I156" s="78">
        <v>22724.03</v>
      </c>
      <c r="J156" s="78" t="s">
        <v>103</v>
      </c>
      <c r="K156" s="78" t="s">
        <v>103</v>
      </c>
      <c r="L156" s="72">
        <f>SUM(M156:O156)</f>
        <v>22724.03</v>
      </c>
      <c r="M156" s="72">
        <f>E156*I156</f>
        <v>22724.03</v>
      </c>
      <c r="N156" s="72" t="s">
        <v>104</v>
      </c>
      <c r="O156" s="77" t="s">
        <v>104</v>
      </c>
      <c r="P156" s="74">
        <f t="shared" si="79"/>
        <v>22724.03</v>
      </c>
      <c r="Q156" s="74">
        <f t="shared" si="80"/>
        <v>22724.03</v>
      </c>
    </row>
    <row r="157" spans="1:17" ht="120">
      <c r="A157" s="201"/>
      <c r="B157" s="199"/>
      <c r="C157" s="9" t="s">
        <v>105</v>
      </c>
      <c r="D157" s="16" t="s">
        <v>101</v>
      </c>
      <c r="E157" s="89"/>
      <c r="F157" s="89"/>
      <c r="G157" s="89"/>
      <c r="H157" s="78">
        <f>SUM(I157:K157)</f>
        <v>166124.72</v>
      </c>
      <c r="I157" s="78">
        <f>145176.96+1169.2</f>
        <v>146346.16</v>
      </c>
      <c r="J157" s="78">
        <v>3857.41</v>
      </c>
      <c r="K157" s="78">
        <v>15921.15</v>
      </c>
      <c r="L157" s="80">
        <f>SUM(M157:O157)</f>
        <v>0</v>
      </c>
      <c r="M157" s="80">
        <f>E157*I157</f>
        <v>0</v>
      </c>
      <c r="N157" s="80">
        <f>E157*J157</f>
        <v>0</v>
      </c>
      <c r="O157" s="80">
        <f>E157*K157</f>
        <v>0</v>
      </c>
      <c r="P157" s="74">
        <f t="shared" si="79"/>
        <v>0</v>
      </c>
      <c r="Q157" s="74">
        <f t="shared" si="80"/>
        <v>0</v>
      </c>
    </row>
    <row r="158" spans="1:17" ht="105">
      <c r="A158" s="201"/>
      <c r="B158" s="63"/>
      <c r="C158" s="9" t="s">
        <v>117</v>
      </c>
      <c r="D158" s="16" t="s">
        <v>101</v>
      </c>
      <c r="E158" s="89">
        <v>3</v>
      </c>
      <c r="F158" s="89">
        <v>3</v>
      </c>
      <c r="G158" s="89">
        <v>3</v>
      </c>
      <c r="H158" s="78">
        <v>32794.07</v>
      </c>
      <c r="I158" s="78">
        <f>H158</f>
        <v>32794.07</v>
      </c>
      <c r="J158" s="78" t="s">
        <v>104</v>
      </c>
      <c r="K158" s="78" t="s">
        <v>104</v>
      </c>
      <c r="L158" s="80">
        <f>SUM(M158:O158)</f>
        <v>98382.209999999992</v>
      </c>
      <c r="M158" s="80">
        <f>E158*I158</f>
        <v>98382.209999999992</v>
      </c>
      <c r="N158" s="80"/>
      <c r="O158" s="80"/>
      <c r="P158" s="74">
        <f t="shared" si="79"/>
        <v>98382.209999999992</v>
      </c>
      <c r="Q158" s="74">
        <f t="shared" si="80"/>
        <v>98382.209999999992</v>
      </c>
    </row>
    <row r="159" spans="1:17" ht="15">
      <c r="A159" s="201"/>
      <c r="B159" s="63"/>
      <c r="C159" s="21" t="s">
        <v>106</v>
      </c>
      <c r="D159" s="16"/>
      <c r="E159" s="89">
        <f>E154++E155+E157</f>
        <v>383</v>
      </c>
      <c r="F159" s="89">
        <f t="shared" ref="F159:G159" si="83">F154++F155+F157</f>
        <v>365</v>
      </c>
      <c r="G159" s="89">
        <f t="shared" si="83"/>
        <v>380</v>
      </c>
      <c r="H159" s="79" t="s">
        <v>104</v>
      </c>
      <c r="I159" s="79" t="s">
        <v>104</v>
      </c>
      <c r="J159" s="79" t="s">
        <v>104</v>
      </c>
      <c r="K159" s="79" t="s">
        <v>104</v>
      </c>
      <c r="L159" s="79">
        <f>SUM(L154:L158)</f>
        <v>21919281.300000001</v>
      </c>
      <c r="M159" s="79">
        <f t="shared" ref="M159:Q159" si="84">SUM(M154:M158)</f>
        <v>14344092.819999998</v>
      </c>
      <c r="N159" s="79">
        <f t="shared" si="84"/>
        <v>1477388.0299999998</v>
      </c>
      <c r="O159" s="79">
        <f t="shared" si="84"/>
        <v>6097800.4499999993</v>
      </c>
      <c r="P159" s="79">
        <f t="shared" si="84"/>
        <v>20909134.940000001</v>
      </c>
      <c r="Q159" s="79">
        <f t="shared" si="84"/>
        <v>21760307.120000001</v>
      </c>
    </row>
    <row r="160" spans="1:17" ht="90">
      <c r="A160" s="201"/>
      <c r="B160" s="199" t="s">
        <v>108</v>
      </c>
      <c r="C160" s="9" t="s">
        <v>100</v>
      </c>
      <c r="D160" s="10" t="s">
        <v>101</v>
      </c>
      <c r="E160" s="89">
        <v>106</v>
      </c>
      <c r="F160" s="89">
        <v>110</v>
      </c>
      <c r="G160" s="89">
        <v>112</v>
      </c>
      <c r="H160" s="71">
        <f>SUM(I160:K160)</f>
        <v>60807.1</v>
      </c>
      <c r="I160" s="71">
        <f>39660.87+1367.67</f>
        <v>41028.54</v>
      </c>
      <c r="J160" s="71">
        <v>3857.41</v>
      </c>
      <c r="K160" s="78">
        <v>15921.15</v>
      </c>
      <c r="L160" s="80">
        <f>SUM(M160:O160)</f>
        <v>6445552.5999999996</v>
      </c>
      <c r="M160" s="80">
        <f>E160*I160</f>
        <v>4349025.24</v>
      </c>
      <c r="N160" s="80">
        <f>E160*J160</f>
        <v>408885.45999999996</v>
      </c>
      <c r="O160" s="80">
        <f>E160*K160</f>
        <v>1687641.9</v>
      </c>
      <c r="P160" s="74">
        <f t="shared" si="79"/>
        <v>6688781</v>
      </c>
      <c r="Q160" s="74">
        <f t="shared" si="80"/>
        <v>6810395.2000000002</v>
      </c>
    </row>
    <row r="161" spans="1:17" ht="120">
      <c r="A161" s="201"/>
      <c r="B161" s="199"/>
      <c r="C161" s="15" t="s">
        <v>102</v>
      </c>
      <c r="D161" s="16" t="s">
        <v>101</v>
      </c>
      <c r="E161" s="89">
        <v>1</v>
      </c>
      <c r="F161" s="89">
        <v>1</v>
      </c>
      <c r="G161" s="89">
        <v>1</v>
      </c>
      <c r="H161" s="78">
        <v>22724.03</v>
      </c>
      <c r="I161" s="78">
        <v>22724.03</v>
      </c>
      <c r="J161" s="78" t="s">
        <v>103</v>
      </c>
      <c r="K161" s="78" t="s">
        <v>103</v>
      </c>
      <c r="L161" s="72">
        <f>SUM(M161:O161)</f>
        <v>22724.03</v>
      </c>
      <c r="M161" s="72">
        <f>E161*I161</f>
        <v>22724.03</v>
      </c>
      <c r="N161" s="72" t="s">
        <v>104</v>
      </c>
      <c r="O161" s="77" t="s">
        <v>104</v>
      </c>
      <c r="P161" s="74">
        <f t="shared" si="79"/>
        <v>22724.03</v>
      </c>
      <c r="Q161" s="74">
        <f t="shared" si="80"/>
        <v>22724.03</v>
      </c>
    </row>
    <row r="162" spans="1:17" ht="120">
      <c r="A162" s="201"/>
      <c r="B162" s="199"/>
      <c r="C162" s="9" t="s">
        <v>105</v>
      </c>
      <c r="D162" s="16" t="s">
        <v>101</v>
      </c>
      <c r="E162" s="89"/>
      <c r="F162" s="89"/>
      <c r="G162" s="89"/>
      <c r="H162" s="78">
        <f>SUM(I162:K162)</f>
        <v>195071.76</v>
      </c>
      <c r="I162" s="78">
        <f>173925.53+1367.67</f>
        <v>175293.2</v>
      </c>
      <c r="J162" s="78">
        <v>3857.41</v>
      </c>
      <c r="K162" s="78">
        <v>15921.15</v>
      </c>
      <c r="L162" s="80"/>
      <c r="M162" s="80"/>
      <c r="N162" s="80"/>
      <c r="O162" s="80"/>
      <c r="P162" s="74">
        <f t="shared" si="79"/>
        <v>0</v>
      </c>
      <c r="Q162" s="74">
        <f t="shared" si="80"/>
        <v>0</v>
      </c>
    </row>
    <row r="163" spans="1:17" ht="15">
      <c r="A163" s="201"/>
      <c r="B163" s="63"/>
      <c r="C163" s="21" t="s">
        <v>106</v>
      </c>
      <c r="D163" s="16"/>
      <c r="E163" s="89">
        <f>E160+E162</f>
        <v>106</v>
      </c>
      <c r="F163" s="89">
        <f t="shared" ref="F163:G163" si="85">F160+F162</f>
        <v>110</v>
      </c>
      <c r="G163" s="89">
        <f t="shared" si="85"/>
        <v>112</v>
      </c>
      <c r="H163" s="79" t="s">
        <v>104</v>
      </c>
      <c r="I163" s="79" t="s">
        <v>104</v>
      </c>
      <c r="J163" s="79" t="s">
        <v>104</v>
      </c>
      <c r="K163" s="79" t="s">
        <v>104</v>
      </c>
      <c r="L163" s="79">
        <f>SUM(L160:L162)</f>
        <v>6468276.6299999999</v>
      </c>
      <c r="M163" s="79">
        <f t="shared" ref="M163:Q163" si="86">SUM(M160:M162)</f>
        <v>4371749.2700000005</v>
      </c>
      <c r="N163" s="79">
        <f t="shared" si="86"/>
        <v>408885.45999999996</v>
      </c>
      <c r="O163" s="79">
        <f t="shared" si="86"/>
        <v>1687641.9</v>
      </c>
      <c r="P163" s="79">
        <f t="shared" si="86"/>
        <v>6711505.0300000003</v>
      </c>
      <c r="Q163" s="79">
        <f t="shared" si="86"/>
        <v>6833119.2300000004</v>
      </c>
    </row>
    <row r="164" spans="1:17" ht="165">
      <c r="A164" s="201"/>
      <c r="B164" s="200" t="s">
        <v>109</v>
      </c>
      <c r="C164" s="9" t="s">
        <v>110</v>
      </c>
      <c r="D164" s="16" t="s">
        <v>101</v>
      </c>
      <c r="E164" s="89">
        <v>509</v>
      </c>
      <c r="F164" s="89">
        <v>519</v>
      </c>
      <c r="G164" s="89">
        <v>519</v>
      </c>
      <c r="H164" s="78">
        <f>I164</f>
        <v>2770.76</v>
      </c>
      <c r="I164" s="78">
        <v>2770.76</v>
      </c>
      <c r="J164" s="78" t="s">
        <v>104</v>
      </c>
      <c r="K164" s="78" t="s">
        <v>104</v>
      </c>
      <c r="L164" s="80">
        <f>SUM(M164:O164)</f>
        <v>1410316.84</v>
      </c>
      <c r="M164" s="80">
        <f>I164*E164</f>
        <v>1410316.84</v>
      </c>
      <c r="N164" s="80" t="s">
        <v>104</v>
      </c>
      <c r="O164" s="80" t="s">
        <v>104</v>
      </c>
      <c r="P164" s="74">
        <f t="shared" si="79"/>
        <v>1438024.4400000002</v>
      </c>
      <c r="Q164" s="74">
        <f t="shared" si="80"/>
        <v>1438024.4400000002</v>
      </c>
    </row>
    <row r="165" spans="1:17" ht="180">
      <c r="A165" s="201"/>
      <c r="B165" s="200"/>
      <c r="C165" s="9" t="s">
        <v>111</v>
      </c>
      <c r="D165" s="16" t="s">
        <v>101</v>
      </c>
      <c r="E165" s="90">
        <v>622</v>
      </c>
      <c r="F165" s="90">
        <v>632</v>
      </c>
      <c r="G165" s="90">
        <v>632</v>
      </c>
      <c r="H165" s="78">
        <v>3829.24</v>
      </c>
      <c r="I165" s="78">
        <f>H165</f>
        <v>3829.24</v>
      </c>
      <c r="J165" s="78" t="s">
        <v>104</v>
      </c>
      <c r="K165" s="78" t="s">
        <v>104</v>
      </c>
      <c r="L165" s="80">
        <f>SUM(M165:O165)</f>
        <v>2381787.2799999998</v>
      </c>
      <c r="M165" s="80">
        <f>I165*E165</f>
        <v>2381787.2799999998</v>
      </c>
      <c r="N165" s="81" t="s">
        <v>104</v>
      </c>
      <c r="O165" s="73" t="s">
        <v>104</v>
      </c>
      <c r="P165" s="74">
        <f t="shared" si="79"/>
        <v>2420079.6799999997</v>
      </c>
      <c r="Q165" s="74">
        <f t="shared" si="80"/>
        <v>2420079.6799999997</v>
      </c>
    </row>
    <row r="166" spans="1:17" ht="15">
      <c r="A166" s="201"/>
      <c r="B166" s="29"/>
      <c r="C166" s="21" t="s">
        <v>106</v>
      </c>
      <c r="D166" s="29"/>
      <c r="E166" s="90">
        <f>SUM(E164:E165)</f>
        <v>1131</v>
      </c>
      <c r="F166" s="90">
        <f t="shared" ref="F166:G166" si="87">SUM(F164:F165)</f>
        <v>1151</v>
      </c>
      <c r="G166" s="89">
        <f t="shared" si="87"/>
        <v>1151</v>
      </c>
      <c r="H166" s="79" t="s">
        <v>104</v>
      </c>
      <c r="I166" s="79" t="s">
        <v>104</v>
      </c>
      <c r="J166" s="79" t="s">
        <v>104</v>
      </c>
      <c r="K166" s="79">
        <f t="shared" ref="K166:O166" si="88">SUM(K164:K165)</f>
        <v>0</v>
      </c>
      <c r="L166" s="79">
        <f t="shared" si="88"/>
        <v>3792104.12</v>
      </c>
      <c r="M166" s="79">
        <f t="shared" si="88"/>
        <v>3792104.12</v>
      </c>
      <c r="N166" s="79">
        <f t="shared" si="88"/>
        <v>0</v>
      </c>
      <c r="O166" s="79">
        <f t="shared" si="88"/>
        <v>0</v>
      </c>
      <c r="P166" s="74">
        <f>SUM(P164:P165)</f>
        <v>3858104.12</v>
      </c>
      <c r="Q166" s="74">
        <f>SUM(Q164:Q165)</f>
        <v>3858104.12</v>
      </c>
    </row>
    <row r="167" spans="1:17" ht="14.25">
      <c r="A167" s="201"/>
      <c r="B167" s="30" t="s">
        <v>112</v>
      </c>
      <c r="C167" s="30"/>
      <c r="D167" s="29"/>
      <c r="E167" s="90"/>
      <c r="F167" s="90"/>
      <c r="G167" s="90"/>
      <c r="H167" s="73"/>
      <c r="I167" s="73"/>
      <c r="J167" s="73"/>
      <c r="K167" s="73"/>
      <c r="L167" s="73">
        <f>L153+L159+L163+L166</f>
        <v>45910407.550000004</v>
      </c>
      <c r="M167" s="73">
        <f t="shared" ref="M167:Q167" si="89">M153+M159+M163+M166</f>
        <v>30087559.550000001</v>
      </c>
      <c r="N167" s="73">
        <f t="shared" si="89"/>
        <v>3085928</v>
      </c>
      <c r="O167" s="73">
        <f t="shared" si="89"/>
        <v>12736919.999999998</v>
      </c>
      <c r="P167" s="73">
        <f t="shared" si="89"/>
        <v>45683144.859999999</v>
      </c>
      <c r="Q167" s="73">
        <f t="shared" si="89"/>
        <v>46655931.240000002</v>
      </c>
    </row>
    <row r="168" spans="1:17" ht="225">
      <c r="A168" s="201" t="s">
        <v>119</v>
      </c>
      <c r="B168" s="199" t="s">
        <v>99</v>
      </c>
      <c r="C168" s="100" t="s">
        <v>120</v>
      </c>
      <c r="D168" s="101" t="s">
        <v>121</v>
      </c>
      <c r="E168" s="102" t="s">
        <v>122</v>
      </c>
      <c r="F168" s="102" t="s">
        <v>122</v>
      </c>
      <c r="G168" s="102" t="s">
        <v>123</v>
      </c>
      <c r="H168" s="103" t="s">
        <v>124</v>
      </c>
      <c r="I168" s="103" t="s">
        <v>125</v>
      </c>
      <c r="J168" s="103" t="s">
        <v>126</v>
      </c>
      <c r="K168" s="103" t="s">
        <v>127</v>
      </c>
      <c r="L168" s="104">
        <f t="shared" ref="L168:L173" si="90">SUM(M168:O168)</f>
        <v>2238893.54</v>
      </c>
      <c r="M168" s="104">
        <f>642642.05*2+952.08*46</f>
        <v>1329079.78</v>
      </c>
      <c r="N168" s="104">
        <f>3857.41*46</f>
        <v>177440.86</v>
      </c>
      <c r="O168" s="105">
        <f>15921.15*46</f>
        <v>732372.9</v>
      </c>
      <c r="P168" s="105">
        <f>642642.05*2+20730.64*46</f>
        <v>2238893.54</v>
      </c>
      <c r="Q168" s="105">
        <f>643642.05*2+20730.64*49</f>
        <v>2303085.46</v>
      </c>
    </row>
    <row r="169" spans="1:17" ht="240">
      <c r="A169" s="201"/>
      <c r="B169" s="199"/>
      <c r="C169" s="100" t="s">
        <v>128</v>
      </c>
      <c r="D169" s="101" t="s">
        <v>121</v>
      </c>
      <c r="E169" s="106" t="s">
        <v>129</v>
      </c>
      <c r="F169" s="106" t="s">
        <v>130</v>
      </c>
      <c r="G169" s="106" t="s">
        <v>130</v>
      </c>
      <c r="H169" s="103" t="s">
        <v>131</v>
      </c>
      <c r="I169" s="103" t="s">
        <v>132</v>
      </c>
      <c r="J169" s="103" t="s">
        <v>126</v>
      </c>
      <c r="K169" s="103" t="s">
        <v>127</v>
      </c>
      <c r="L169" s="104">
        <f t="shared" si="90"/>
        <v>3681151.7999999993</v>
      </c>
      <c r="M169" s="104">
        <f>604145.69*4+952.08*61</f>
        <v>2474659.6399999997</v>
      </c>
      <c r="N169" s="104">
        <f>3857.41*61</f>
        <v>235302.00999999998</v>
      </c>
      <c r="O169" s="105">
        <f>15921.15*61</f>
        <v>971190.15</v>
      </c>
      <c r="P169" s="105">
        <f>604145.69*4+20730.64*63</f>
        <v>3722613.08</v>
      </c>
      <c r="Q169" s="105">
        <f>P169</f>
        <v>3722613.08</v>
      </c>
    </row>
    <row r="170" spans="1:17" ht="120">
      <c r="A170" s="201"/>
      <c r="B170" s="199"/>
      <c r="C170" s="107" t="s">
        <v>102</v>
      </c>
      <c r="D170" s="108" t="s">
        <v>101</v>
      </c>
      <c r="E170" s="109"/>
      <c r="F170" s="109"/>
      <c r="G170" s="109"/>
      <c r="H170" s="110">
        <v>22724.03</v>
      </c>
      <c r="I170" s="110">
        <v>22724.03</v>
      </c>
      <c r="J170" s="110" t="s">
        <v>103</v>
      </c>
      <c r="K170" s="110" t="s">
        <v>103</v>
      </c>
      <c r="L170" s="104">
        <f t="shared" si="90"/>
        <v>0</v>
      </c>
      <c r="M170" s="104">
        <f>E170*I170</f>
        <v>0</v>
      </c>
      <c r="N170" s="104" t="s">
        <v>104</v>
      </c>
      <c r="O170" s="111" t="s">
        <v>104</v>
      </c>
      <c r="P170" s="105">
        <f t="shared" ref="P170:P180" si="91">F170*H170</f>
        <v>0</v>
      </c>
      <c r="Q170" s="105">
        <f t="shared" ref="Q170:Q180" si="92">G170*H170</f>
        <v>0</v>
      </c>
    </row>
    <row r="171" spans="1:17" ht="15">
      <c r="A171" s="201"/>
      <c r="B171" s="199"/>
      <c r="C171" s="112" t="s">
        <v>106</v>
      </c>
      <c r="D171" s="113"/>
      <c r="E171" s="102" t="s">
        <v>133</v>
      </c>
      <c r="F171" s="102" t="s">
        <v>134</v>
      </c>
      <c r="G171" s="102" t="s">
        <v>135</v>
      </c>
      <c r="H171" s="104" t="s">
        <v>104</v>
      </c>
      <c r="I171" s="104" t="s">
        <v>104</v>
      </c>
      <c r="J171" s="104" t="s">
        <v>104</v>
      </c>
      <c r="K171" s="104" t="s">
        <v>104</v>
      </c>
      <c r="L171" s="104">
        <f t="shared" si="90"/>
        <v>5920045.3399999999</v>
      </c>
      <c r="M171" s="104">
        <f>SUM(M168:M170)</f>
        <v>3803739.42</v>
      </c>
      <c r="N171" s="104">
        <f t="shared" ref="N171:O171" si="93">SUM(N168:N170)</f>
        <v>412742.87</v>
      </c>
      <c r="O171" s="104">
        <f t="shared" si="93"/>
        <v>1703563.05</v>
      </c>
      <c r="P171" s="105">
        <f>SUM(P168:P170)</f>
        <v>5961506.6200000001</v>
      </c>
      <c r="Q171" s="105">
        <f>SUM(Q168:Q170)</f>
        <v>6025698.54</v>
      </c>
    </row>
    <row r="172" spans="1:17" ht="225">
      <c r="A172" s="201"/>
      <c r="B172" s="199" t="s">
        <v>107</v>
      </c>
      <c r="C172" s="100" t="s">
        <v>120</v>
      </c>
      <c r="D172" s="101" t="s">
        <v>121</v>
      </c>
      <c r="E172" s="102" t="s">
        <v>136</v>
      </c>
      <c r="F172" s="102" t="s">
        <v>122</v>
      </c>
      <c r="G172" s="102" t="s">
        <v>137</v>
      </c>
      <c r="H172" s="103" t="s">
        <v>138</v>
      </c>
      <c r="I172" s="103" t="s">
        <v>139</v>
      </c>
      <c r="J172" s="103" t="s">
        <v>126</v>
      </c>
      <c r="K172" s="103" t="s">
        <v>127</v>
      </c>
      <c r="L172" s="104">
        <f t="shared" si="90"/>
        <v>4247891.0999999996</v>
      </c>
      <c r="M172" s="104">
        <f>3*955112.98+66*1169.2</f>
        <v>2942506.14</v>
      </c>
      <c r="N172" s="104">
        <f>3857.41*66</f>
        <v>254589.06</v>
      </c>
      <c r="O172" s="104">
        <f>15921.15*66</f>
        <v>1050795.8999999999</v>
      </c>
      <c r="P172" s="105">
        <f>2*955112.98+46*20947.76</f>
        <v>2873822.92</v>
      </c>
      <c r="Q172" s="105">
        <f>5*955112.98+112*20947.76</f>
        <v>7121714.0199999996</v>
      </c>
    </row>
    <row r="173" spans="1:17" ht="240">
      <c r="A173" s="201"/>
      <c r="B173" s="199"/>
      <c r="C173" s="100" t="s">
        <v>128</v>
      </c>
      <c r="D173" s="101" t="s">
        <v>121</v>
      </c>
      <c r="E173" s="114" t="s">
        <v>140</v>
      </c>
      <c r="F173" s="114" t="s">
        <v>141</v>
      </c>
      <c r="G173" s="114" t="s">
        <v>129</v>
      </c>
      <c r="H173" s="103" t="s">
        <v>142</v>
      </c>
      <c r="I173" s="103" t="s">
        <v>143</v>
      </c>
      <c r="J173" s="103" t="s">
        <v>126</v>
      </c>
      <c r="K173" s="103" t="s">
        <v>127</v>
      </c>
      <c r="L173" s="104">
        <f t="shared" si="90"/>
        <v>3254329.2699999996</v>
      </c>
      <c r="M173" s="104">
        <f>3*756594.85+1169.2*47</f>
        <v>2324736.9499999997</v>
      </c>
      <c r="N173" s="104">
        <f>3857.41*47</f>
        <v>181298.27</v>
      </c>
      <c r="O173" s="111">
        <f>15921.15*47</f>
        <v>748294.04999999993</v>
      </c>
      <c r="P173" s="105">
        <f>6*756594.85+20947.76*99</f>
        <v>6613397.3399999999</v>
      </c>
      <c r="Q173" s="105">
        <f>756594.85*4+20947.76*61</f>
        <v>4304192.76</v>
      </c>
    </row>
    <row r="174" spans="1:17" ht="120">
      <c r="A174" s="201"/>
      <c r="B174" s="199"/>
      <c r="C174" s="107" t="s">
        <v>102</v>
      </c>
      <c r="D174" s="108" t="s">
        <v>101</v>
      </c>
      <c r="E174" s="114">
        <v>4</v>
      </c>
      <c r="F174" s="114">
        <v>3</v>
      </c>
      <c r="G174" s="114">
        <v>3</v>
      </c>
      <c r="H174" s="110">
        <f>I174</f>
        <v>27251.919999999998</v>
      </c>
      <c r="I174" s="110">
        <v>27251.919999999998</v>
      </c>
      <c r="J174" s="110" t="s">
        <v>103</v>
      </c>
      <c r="K174" s="110" t="s">
        <v>103</v>
      </c>
      <c r="L174" s="104">
        <f>SUM(M174)</f>
        <v>109007.67999999999</v>
      </c>
      <c r="M174" s="115">
        <f>E174*I174</f>
        <v>109007.67999999999</v>
      </c>
      <c r="N174" s="115"/>
      <c r="O174" s="115"/>
      <c r="P174" s="105">
        <f t="shared" si="91"/>
        <v>81755.759999999995</v>
      </c>
      <c r="Q174" s="105">
        <f t="shared" si="92"/>
        <v>81755.759999999995</v>
      </c>
    </row>
    <row r="175" spans="1:17" ht="120">
      <c r="A175" s="201"/>
      <c r="B175" s="63"/>
      <c r="C175" s="100" t="s">
        <v>144</v>
      </c>
      <c r="D175" s="108" t="s">
        <v>101</v>
      </c>
      <c r="E175" s="116">
        <v>1</v>
      </c>
      <c r="F175" s="116">
        <v>1</v>
      </c>
      <c r="G175" s="116">
        <v>1</v>
      </c>
      <c r="H175" s="110">
        <f>SUM(I175:K175)</f>
        <v>217702</v>
      </c>
      <c r="I175" s="110">
        <v>217702</v>
      </c>
      <c r="J175" s="110"/>
      <c r="K175" s="110"/>
      <c r="L175" s="115">
        <f>SUM(M175:O175)</f>
        <v>217702</v>
      </c>
      <c r="M175" s="115">
        <f>E175*I175</f>
        <v>217702</v>
      </c>
      <c r="N175" s="115">
        <f>E175*J175</f>
        <v>0</v>
      </c>
      <c r="O175" s="115">
        <f>K175*E175</f>
        <v>0</v>
      </c>
      <c r="P175" s="105">
        <f t="shared" si="91"/>
        <v>217702</v>
      </c>
      <c r="Q175" s="105">
        <f t="shared" si="92"/>
        <v>217702</v>
      </c>
    </row>
    <row r="176" spans="1:17" ht="15">
      <c r="A176" s="201"/>
      <c r="B176" s="63"/>
      <c r="C176" s="112" t="s">
        <v>106</v>
      </c>
      <c r="D176" s="108"/>
      <c r="E176" s="114" t="s">
        <v>145</v>
      </c>
      <c r="F176" s="114" t="s">
        <v>146</v>
      </c>
      <c r="G176" s="114" t="s">
        <v>147</v>
      </c>
      <c r="H176" s="117" t="s">
        <v>104</v>
      </c>
      <c r="I176" s="117" t="s">
        <v>104</v>
      </c>
      <c r="J176" s="117" t="s">
        <v>104</v>
      </c>
      <c r="K176" s="117" t="s">
        <v>104</v>
      </c>
      <c r="L176" s="117">
        <f>SUM(M176:O176)</f>
        <v>7828930.0499999989</v>
      </c>
      <c r="M176" s="117">
        <f t="shared" ref="M176:O176" si="94">SUM(M172:M175)</f>
        <v>5593952.7699999996</v>
      </c>
      <c r="N176" s="117">
        <f t="shared" si="94"/>
        <v>435887.32999999996</v>
      </c>
      <c r="O176" s="117">
        <f t="shared" si="94"/>
        <v>1799089.9499999997</v>
      </c>
      <c r="P176" s="117">
        <f>SUM(P172:P175)</f>
        <v>9786678.0199999996</v>
      </c>
      <c r="Q176" s="117">
        <f>SUM(Q172:Q175)</f>
        <v>11725364.539999999</v>
      </c>
    </row>
    <row r="177" spans="1:17" ht="240">
      <c r="A177" s="201"/>
      <c r="B177" s="63" t="s">
        <v>108</v>
      </c>
      <c r="C177" s="100" t="s">
        <v>128</v>
      </c>
      <c r="D177" s="101" t="s">
        <v>121</v>
      </c>
      <c r="E177" s="106" t="s">
        <v>148</v>
      </c>
      <c r="F177" s="106" t="s">
        <v>148</v>
      </c>
      <c r="G177" s="106" t="s">
        <v>149</v>
      </c>
      <c r="H177" s="103" t="s">
        <v>150</v>
      </c>
      <c r="I177" s="103" t="s">
        <v>151</v>
      </c>
      <c r="J177" s="103" t="s">
        <v>126</v>
      </c>
      <c r="K177" s="103" t="s">
        <v>127</v>
      </c>
      <c r="L177" s="115">
        <f>SUM(M177:O177)</f>
        <v>956431.65700000001</v>
      </c>
      <c r="M177" s="115">
        <f>808407.62+1367.67*7</f>
        <v>817981.30999999994</v>
      </c>
      <c r="N177" s="115">
        <f>7*3857.471</f>
        <v>27002.296999999999</v>
      </c>
      <c r="O177" s="115">
        <f>7*15921.15</f>
        <v>111448.05</v>
      </c>
      <c r="P177" s="118">
        <f>808407.62+7*21146.23</f>
        <v>956431.23</v>
      </c>
      <c r="Q177" s="105">
        <f>2*808407.62+17*21146.23</f>
        <v>1976301.15</v>
      </c>
    </row>
    <row r="178" spans="1:17" ht="15">
      <c r="A178" s="201"/>
      <c r="B178" s="63"/>
      <c r="C178" s="112" t="s">
        <v>106</v>
      </c>
      <c r="D178" s="108"/>
      <c r="E178" s="114" t="s">
        <v>148</v>
      </c>
      <c r="F178" s="114" t="s">
        <v>148</v>
      </c>
      <c r="G178" s="114" t="s">
        <v>149</v>
      </c>
      <c r="H178" s="117" t="s">
        <v>104</v>
      </c>
      <c r="I178" s="117" t="s">
        <v>104</v>
      </c>
      <c r="J178" s="117" t="s">
        <v>104</v>
      </c>
      <c r="K178" s="117" t="s">
        <v>104</v>
      </c>
      <c r="L178" s="117">
        <f>SUM(L177:L177)</f>
        <v>956431.65700000001</v>
      </c>
      <c r="M178" s="117">
        <f>SUM(M177:M177)</f>
        <v>817981.30999999994</v>
      </c>
      <c r="N178" s="117">
        <f>SUM(N177:N177)</f>
        <v>27002.296999999999</v>
      </c>
      <c r="O178" s="117">
        <f>SUM(O177:O177)</f>
        <v>111448.05</v>
      </c>
      <c r="P178" s="105">
        <f>SUM(P177)</f>
        <v>956431.23</v>
      </c>
      <c r="Q178" s="105">
        <f>SUM(Q177)</f>
        <v>1976301.15</v>
      </c>
    </row>
    <row r="179" spans="1:17" ht="165">
      <c r="A179" s="201"/>
      <c r="B179" s="200" t="s">
        <v>109</v>
      </c>
      <c r="C179" s="100" t="s">
        <v>110</v>
      </c>
      <c r="D179" s="108" t="s">
        <v>101</v>
      </c>
      <c r="E179" s="114">
        <v>153</v>
      </c>
      <c r="F179" s="114">
        <v>156</v>
      </c>
      <c r="G179" s="114">
        <v>162</v>
      </c>
      <c r="H179" s="110">
        <f>I179</f>
        <v>3461.18</v>
      </c>
      <c r="I179" s="110">
        <v>3461.18</v>
      </c>
      <c r="J179" s="110" t="s">
        <v>104</v>
      </c>
      <c r="K179" s="110" t="s">
        <v>104</v>
      </c>
      <c r="L179" s="115">
        <f>SUM(M179:O179)</f>
        <v>529560.53999999992</v>
      </c>
      <c r="M179" s="115">
        <f>I179*E179</f>
        <v>529560.53999999992</v>
      </c>
      <c r="N179" s="115" t="s">
        <v>104</v>
      </c>
      <c r="O179" s="115" t="s">
        <v>104</v>
      </c>
      <c r="P179" s="105">
        <f t="shared" si="91"/>
        <v>539944.07999999996</v>
      </c>
      <c r="Q179" s="105">
        <f t="shared" si="92"/>
        <v>560711.15999999992</v>
      </c>
    </row>
    <row r="180" spans="1:17" ht="180">
      <c r="A180" s="201"/>
      <c r="B180" s="200"/>
      <c r="C180" s="100" t="s">
        <v>111</v>
      </c>
      <c r="D180" s="108" t="s">
        <v>101</v>
      </c>
      <c r="E180" s="114">
        <v>147</v>
      </c>
      <c r="F180" s="114">
        <v>110</v>
      </c>
      <c r="G180" s="114">
        <v>115</v>
      </c>
      <c r="H180" s="110">
        <v>3829.24</v>
      </c>
      <c r="I180" s="110">
        <v>4783.41</v>
      </c>
      <c r="J180" s="110" t="s">
        <v>104</v>
      </c>
      <c r="K180" s="110" t="s">
        <v>104</v>
      </c>
      <c r="L180" s="115">
        <f>SUM(M180:O180)</f>
        <v>703161.27</v>
      </c>
      <c r="M180" s="115">
        <f>I180*E180</f>
        <v>703161.27</v>
      </c>
      <c r="N180" s="115" t="s">
        <v>104</v>
      </c>
      <c r="O180" s="117" t="s">
        <v>104</v>
      </c>
      <c r="P180" s="105">
        <f t="shared" si="91"/>
        <v>421216.39999999997</v>
      </c>
      <c r="Q180" s="105">
        <f t="shared" si="92"/>
        <v>440362.6</v>
      </c>
    </row>
    <row r="181" spans="1:17" ht="15">
      <c r="A181" s="201"/>
      <c r="B181" s="29"/>
      <c r="C181" s="112" t="s">
        <v>106</v>
      </c>
      <c r="D181" s="119"/>
      <c r="E181" s="114">
        <f>SUM(E179:E180)</f>
        <v>300</v>
      </c>
      <c r="F181" s="114">
        <f t="shared" ref="F181:G181" si="95">SUM(F179:F180)</f>
        <v>266</v>
      </c>
      <c r="G181" s="114">
        <f t="shared" si="95"/>
        <v>277</v>
      </c>
      <c r="H181" s="117" t="s">
        <v>104</v>
      </c>
      <c r="I181" s="117" t="s">
        <v>104</v>
      </c>
      <c r="J181" s="117" t="s">
        <v>104</v>
      </c>
      <c r="K181" s="117">
        <f t="shared" ref="K181:Q181" si="96">SUM(K179:K180)</f>
        <v>0</v>
      </c>
      <c r="L181" s="117">
        <f>SUM(L179:L180)</f>
        <v>1232721.81</v>
      </c>
      <c r="M181" s="117">
        <f>SUM(M179:M180)</f>
        <v>1232721.81</v>
      </c>
      <c r="N181" s="117">
        <f t="shared" si="96"/>
        <v>0</v>
      </c>
      <c r="O181" s="117">
        <f t="shared" si="96"/>
        <v>0</v>
      </c>
      <c r="P181" s="117">
        <f t="shared" si="96"/>
        <v>961160.48</v>
      </c>
      <c r="Q181" s="117">
        <f t="shared" si="96"/>
        <v>1001073.7599999999</v>
      </c>
    </row>
    <row r="182" spans="1:17" ht="14.25">
      <c r="A182" s="201"/>
      <c r="B182" s="30" t="s">
        <v>112</v>
      </c>
      <c r="C182" s="30"/>
      <c r="D182" s="29"/>
      <c r="E182" s="73"/>
      <c r="F182" s="73"/>
      <c r="G182" s="73"/>
      <c r="H182" s="73"/>
      <c r="I182" s="73"/>
      <c r="J182" s="73"/>
      <c r="K182" s="73"/>
      <c r="L182" s="73">
        <f>L171+L176+L178+L181</f>
        <v>15938128.856999999</v>
      </c>
      <c r="M182" s="73">
        <f t="shared" ref="M182:Q182" si="97">M171+M176+M178+M181</f>
        <v>11448395.310000001</v>
      </c>
      <c r="N182" s="73">
        <f t="shared" si="97"/>
        <v>875632.49699999997</v>
      </c>
      <c r="O182" s="73">
        <f t="shared" si="97"/>
        <v>3614101.05</v>
      </c>
      <c r="P182" s="73">
        <f t="shared" si="97"/>
        <v>17665776.350000001</v>
      </c>
      <c r="Q182" s="73">
        <f t="shared" si="97"/>
        <v>20728437.989999998</v>
      </c>
    </row>
    <row r="183" spans="1:17" ht="15">
      <c r="A183" s="55" t="s">
        <v>156</v>
      </c>
    </row>
    <row r="184" spans="1:17" ht="30">
      <c r="A184" s="59" t="s">
        <v>3</v>
      </c>
      <c r="B184" s="59" t="s">
        <v>81</v>
      </c>
      <c r="C184" s="59" t="s">
        <v>4</v>
      </c>
      <c r="D184" s="195" t="s">
        <v>5</v>
      </c>
      <c r="E184" s="195"/>
      <c r="F184" s="195"/>
      <c r="G184" s="196" t="s">
        <v>6</v>
      </c>
      <c r="H184" s="196" t="s">
        <v>7</v>
      </c>
      <c r="I184" s="196"/>
      <c r="J184" s="196"/>
    </row>
    <row r="185" spans="1:17" ht="15">
      <c r="A185" s="45"/>
      <c r="B185" s="45"/>
      <c r="C185" s="45"/>
      <c r="D185" s="50" t="s">
        <v>8</v>
      </c>
      <c r="E185" s="50" t="s">
        <v>9</v>
      </c>
      <c r="F185" s="50" t="s">
        <v>10</v>
      </c>
      <c r="G185" s="196"/>
      <c r="H185" s="50">
        <v>2016</v>
      </c>
      <c r="I185" s="50" t="s">
        <v>9</v>
      </c>
      <c r="J185" s="50" t="s">
        <v>10</v>
      </c>
    </row>
    <row r="186" spans="1:17" ht="75">
      <c r="A186" s="42" t="s">
        <v>13</v>
      </c>
      <c r="B186" s="42" t="s">
        <v>14</v>
      </c>
      <c r="C186" s="59" t="s">
        <v>15</v>
      </c>
      <c r="D186" s="42" t="s">
        <v>16</v>
      </c>
      <c r="E186" s="42" t="s">
        <v>16</v>
      </c>
      <c r="F186" s="42" t="s">
        <v>16</v>
      </c>
      <c r="G186" s="59" t="s">
        <v>17</v>
      </c>
      <c r="H186" s="59" t="s">
        <v>17</v>
      </c>
      <c r="I186" s="59" t="s">
        <v>17</v>
      </c>
      <c r="J186" s="59" t="s">
        <v>17</v>
      </c>
    </row>
    <row r="187" spans="1:17" ht="15">
      <c r="A187" s="92" t="s">
        <v>157</v>
      </c>
      <c r="B187" s="93"/>
      <c r="C187" s="93"/>
      <c r="D187" s="94">
        <f>SUM(D188:D189)</f>
        <v>1550</v>
      </c>
      <c r="E187" s="94">
        <f>SUM(E188:E189)</f>
        <v>1550</v>
      </c>
      <c r="F187" s="94">
        <f>SUM(F188:F189)</f>
        <v>1550</v>
      </c>
      <c r="G187" s="93"/>
      <c r="H187" s="95">
        <f>H188+H189</f>
        <v>22307310</v>
      </c>
      <c r="I187" s="95">
        <f>I188+I189</f>
        <v>22307310</v>
      </c>
      <c r="J187" s="95">
        <f>J188+J189</f>
        <v>22307310</v>
      </c>
    </row>
    <row r="188" spans="1:17" ht="105">
      <c r="A188" s="207"/>
      <c r="B188" s="96" t="s">
        <v>158</v>
      </c>
      <c r="C188" s="93" t="s">
        <v>20</v>
      </c>
      <c r="D188" s="97">
        <v>1300</v>
      </c>
      <c r="E188" s="97">
        <v>1300</v>
      </c>
      <c r="F188" s="97">
        <v>1300</v>
      </c>
      <c r="G188" s="98">
        <v>16584.45</v>
      </c>
      <c r="H188" s="98">
        <f>G188*D188</f>
        <v>21559785</v>
      </c>
      <c r="I188" s="98">
        <f>H188</f>
        <v>21559785</v>
      </c>
      <c r="J188" s="98">
        <f>I188</f>
        <v>21559785</v>
      </c>
    </row>
    <row r="189" spans="1:17" ht="45">
      <c r="A189" s="208"/>
      <c r="B189" s="99" t="s">
        <v>159</v>
      </c>
      <c r="C189" s="93" t="s">
        <v>20</v>
      </c>
      <c r="D189" s="97">
        <v>250</v>
      </c>
      <c r="E189" s="97">
        <v>250</v>
      </c>
      <c r="F189" s="97">
        <v>250</v>
      </c>
      <c r="G189" s="98">
        <v>2990.1</v>
      </c>
      <c r="H189" s="98">
        <f>G189*D189</f>
        <v>747525</v>
      </c>
      <c r="I189" s="98">
        <f t="shared" ref="I189:J190" si="98">H189</f>
        <v>747525</v>
      </c>
      <c r="J189" s="98">
        <f t="shared" si="98"/>
        <v>747525</v>
      </c>
    </row>
    <row r="190" spans="1:17" ht="105">
      <c r="A190" s="50" t="s">
        <v>160</v>
      </c>
      <c r="B190" s="59" t="s">
        <v>158</v>
      </c>
      <c r="C190" s="45" t="s">
        <v>20</v>
      </c>
      <c r="D190" s="91">
        <v>411</v>
      </c>
      <c r="E190" s="91">
        <v>411</v>
      </c>
      <c r="F190" s="91">
        <v>411</v>
      </c>
      <c r="G190" s="46">
        <v>12267.68</v>
      </c>
      <c r="H190" s="46">
        <f>G190*D190</f>
        <v>5042016.4800000004</v>
      </c>
      <c r="I190" s="46">
        <f t="shared" si="98"/>
        <v>5042016.4800000004</v>
      </c>
      <c r="J190" s="46">
        <f t="shared" si="98"/>
        <v>5042016.4800000004</v>
      </c>
    </row>
    <row r="193" spans="1:1">
      <c r="A193" s="54" t="s">
        <v>161</v>
      </c>
    </row>
  </sheetData>
  <sheetProtection password="CF7A" sheet="1" objects="1" scenarios="1"/>
  <mergeCells count="45">
    <mergeCell ref="L82:Q82"/>
    <mergeCell ref="A3:Q3"/>
    <mergeCell ref="E6:G6"/>
    <mergeCell ref="H6:K6"/>
    <mergeCell ref="L6:Q6"/>
    <mergeCell ref="L7:O7"/>
    <mergeCell ref="A81:C81"/>
    <mergeCell ref="A82:A83"/>
    <mergeCell ref="B82:B83"/>
    <mergeCell ref="D82:D83"/>
    <mergeCell ref="E82:G82"/>
    <mergeCell ref="H82:K82"/>
    <mergeCell ref="A101:A116"/>
    <mergeCell ref="B101:B104"/>
    <mergeCell ref="B105:B107"/>
    <mergeCell ref="B109:B111"/>
    <mergeCell ref="B113:B114"/>
    <mergeCell ref="A85:A100"/>
    <mergeCell ref="B85:B88"/>
    <mergeCell ref="B89:B91"/>
    <mergeCell ref="B93:B95"/>
    <mergeCell ref="B97:B98"/>
    <mergeCell ref="A133:A148"/>
    <mergeCell ref="B133:B136"/>
    <mergeCell ref="B137:B139"/>
    <mergeCell ref="B141:B143"/>
    <mergeCell ref="B145:B146"/>
    <mergeCell ref="A117:A132"/>
    <mergeCell ref="B117:B120"/>
    <mergeCell ref="B121:B123"/>
    <mergeCell ref="B125:B127"/>
    <mergeCell ref="B129:B130"/>
    <mergeCell ref="D184:F184"/>
    <mergeCell ref="G184:G185"/>
    <mergeCell ref="H184:J184"/>
    <mergeCell ref="A188:A189"/>
    <mergeCell ref="A149:A167"/>
    <mergeCell ref="B149:B151"/>
    <mergeCell ref="B154:B157"/>
    <mergeCell ref="B160:B162"/>
    <mergeCell ref="B164:B165"/>
    <mergeCell ref="A168:A182"/>
    <mergeCell ref="B168:B171"/>
    <mergeCell ref="B172:B174"/>
    <mergeCell ref="B179:B180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247"/>
  <sheetViews>
    <sheetView tabSelected="1" zoomScale="80" zoomScaleNormal="80" workbookViewId="0">
      <selection activeCell="Q4" sqref="Q4"/>
    </sheetView>
  </sheetViews>
  <sheetFormatPr defaultColWidth="9.140625" defaultRowHeight="15"/>
  <cols>
    <col min="1" max="1" width="19.42578125" style="143" customWidth="1"/>
    <col min="2" max="2" width="19.85546875" style="143" customWidth="1"/>
    <col min="3" max="3" width="23.7109375" style="143" customWidth="1"/>
    <col min="4" max="4" width="8.7109375" style="143" customWidth="1"/>
    <col min="5" max="6" width="13.28515625" style="143" customWidth="1"/>
    <col min="7" max="7" width="14" style="143" customWidth="1"/>
    <col min="8" max="9" width="12.7109375" style="143" customWidth="1"/>
    <col min="10" max="10" width="14.140625" style="143" bestFit="1" customWidth="1"/>
    <col min="11" max="11" width="16" style="143" customWidth="1"/>
    <col min="12" max="12" width="13.85546875" style="143" customWidth="1"/>
    <col min="13" max="13" width="12.140625" style="143" bestFit="1" customWidth="1"/>
    <col min="14" max="14" width="16.7109375" style="143" customWidth="1"/>
    <col min="15" max="15" width="15.42578125" style="143" customWidth="1"/>
    <col min="16" max="16" width="14.7109375" style="143" customWidth="1"/>
    <col min="17" max="17" width="14.28515625" style="143" customWidth="1"/>
    <col min="18" max="18" width="14.140625" style="143" customWidth="1"/>
    <col min="19" max="19" width="14.85546875" style="143" bestFit="1" customWidth="1"/>
    <col min="20" max="20" width="9.140625" style="143"/>
    <col min="21" max="21" width="13.5703125" style="143" bestFit="1" customWidth="1"/>
    <col min="22" max="22" width="9.42578125" style="143" bestFit="1" customWidth="1"/>
    <col min="23" max="16384" width="9.140625" style="143"/>
  </cols>
  <sheetData>
    <row r="1" spans="1:21">
      <c r="A1" s="142"/>
      <c r="Q1" s="189" t="s">
        <v>206</v>
      </c>
    </row>
    <row r="2" spans="1:21">
      <c r="Q2" s="189" t="s">
        <v>169</v>
      </c>
    </row>
    <row r="3" spans="1:21">
      <c r="Q3" s="189" t="s">
        <v>208</v>
      </c>
    </row>
    <row r="4" spans="1:21">
      <c r="Q4" s="189" t="s">
        <v>207</v>
      </c>
    </row>
    <row r="5" spans="1:21">
      <c r="A5" s="212" t="s">
        <v>1</v>
      </c>
      <c r="B5" s="212"/>
      <c r="C5" s="213"/>
      <c r="D5" s="212"/>
      <c r="E5" s="212"/>
      <c r="F5" s="213"/>
      <c r="G5" s="213"/>
      <c r="H5" s="212"/>
      <c r="I5" s="212"/>
      <c r="J5" s="212"/>
      <c r="K5" s="213"/>
      <c r="L5" s="212"/>
      <c r="M5" s="212"/>
      <c r="N5" s="212"/>
      <c r="O5" s="212"/>
      <c r="P5" s="213"/>
      <c r="Q5" s="212"/>
      <c r="R5" s="212"/>
      <c r="S5" s="212"/>
    </row>
    <row r="6" spans="1:21" ht="36.75" customHeight="1">
      <c r="A6" s="144" t="s">
        <v>155</v>
      </c>
    </row>
    <row r="8" spans="1:21" ht="45">
      <c r="A8" s="177" t="s">
        <v>3</v>
      </c>
      <c r="B8" s="177" t="s">
        <v>81</v>
      </c>
      <c r="C8" s="177" t="s">
        <v>152</v>
      </c>
      <c r="D8" s="177" t="s">
        <v>4</v>
      </c>
      <c r="E8" s="214" t="s">
        <v>5</v>
      </c>
      <c r="F8" s="215"/>
      <c r="G8" s="215"/>
      <c r="H8" s="215"/>
      <c r="I8" s="216"/>
      <c r="J8" s="217" t="s">
        <v>6</v>
      </c>
      <c r="K8" s="217"/>
      <c r="L8" s="217"/>
      <c r="M8" s="217"/>
      <c r="N8" s="217" t="s">
        <v>7</v>
      </c>
      <c r="O8" s="217"/>
      <c r="P8" s="217"/>
      <c r="Q8" s="217"/>
      <c r="R8" s="217"/>
      <c r="S8" s="217"/>
    </row>
    <row r="9" spans="1:21">
      <c r="A9" s="177"/>
      <c r="B9" s="177"/>
      <c r="C9" s="177"/>
      <c r="D9" s="177"/>
      <c r="E9" s="220" t="s">
        <v>8</v>
      </c>
      <c r="F9" s="221"/>
      <c r="G9" s="222"/>
      <c r="H9" s="176"/>
      <c r="I9" s="176"/>
      <c r="J9" s="177"/>
      <c r="K9" s="177"/>
      <c r="L9" s="177"/>
      <c r="M9" s="177"/>
      <c r="N9" s="214"/>
      <c r="O9" s="215"/>
      <c r="P9" s="215"/>
      <c r="Q9" s="216"/>
      <c r="R9" s="177"/>
      <c r="S9" s="177"/>
    </row>
    <row r="10" spans="1:21" ht="60">
      <c r="A10" s="145"/>
      <c r="B10" s="145"/>
      <c r="C10" s="145"/>
      <c r="D10" s="145"/>
      <c r="E10" s="177" t="s">
        <v>170</v>
      </c>
      <c r="F10" s="177" t="s">
        <v>171</v>
      </c>
      <c r="G10" s="185" t="s">
        <v>172</v>
      </c>
      <c r="H10" s="180" t="s">
        <v>9</v>
      </c>
      <c r="I10" s="180" t="s">
        <v>10</v>
      </c>
      <c r="J10" s="146" t="s">
        <v>79</v>
      </c>
      <c r="K10" s="177" t="s">
        <v>80</v>
      </c>
      <c r="L10" s="146" t="s">
        <v>11</v>
      </c>
      <c r="M10" s="180" t="s">
        <v>12</v>
      </c>
      <c r="N10" s="218" t="s">
        <v>8</v>
      </c>
      <c r="O10" s="218"/>
      <c r="P10" s="218"/>
      <c r="Q10" s="218"/>
      <c r="R10" s="180" t="s">
        <v>9</v>
      </c>
      <c r="S10" s="180" t="s">
        <v>10</v>
      </c>
    </row>
    <row r="11" spans="1:21" ht="63" customHeight="1">
      <c r="A11" s="146" t="s">
        <v>13</v>
      </c>
      <c r="B11" s="146" t="s">
        <v>14</v>
      </c>
      <c r="C11" s="146"/>
      <c r="D11" s="177" t="s">
        <v>15</v>
      </c>
      <c r="E11" s="146" t="s">
        <v>16</v>
      </c>
      <c r="F11" s="146" t="s">
        <v>16</v>
      </c>
      <c r="G11" s="146" t="s">
        <v>16</v>
      </c>
      <c r="H11" s="146" t="s">
        <v>16</v>
      </c>
      <c r="I11" s="146" t="s">
        <v>16</v>
      </c>
      <c r="J11" s="177" t="s">
        <v>17</v>
      </c>
      <c r="K11" s="177" t="s">
        <v>17</v>
      </c>
      <c r="L11" s="177" t="s">
        <v>17</v>
      </c>
      <c r="M11" s="177" t="s">
        <v>17</v>
      </c>
      <c r="N11" s="177" t="s">
        <v>85</v>
      </c>
      <c r="O11" s="192" t="s">
        <v>83</v>
      </c>
      <c r="P11" s="192" t="s">
        <v>84</v>
      </c>
      <c r="Q11" s="185" t="s">
        <v>12</v>
      </c>
      <c r="R11" s="177" t="s">
        <v>17</v>
      </c>
      <c r="S11" s="177" t="s">
        <v>17</v>
      </c>
    </row>
    <row r="12" spans="1:21">
      <c r="A12" s="181" t="s">
        <v>18</v>
      </c>
      <c r="B12" s="145"/>
      <c r="C12" s="145"/>
      <c r="D12" s="145"/>
      <c r="E12" s="133"/>
      <c r="F12" s="133"/>
      <c r="G12" s="133"/>
      <c r="H12" s="133"/>
      <c r="I12" s="133"/>
      <c r="J12" s="136"/>
      <c r="K12" s="136"/>
      <c r="L12" s="136"/>
      <c r="M12" s="136"/>
      <c r="N12" s="140">
        <f>N13+N17</f>
        <v>4848564.0866666669</v>
      </c>
      <c r="O12" s="140">
        <f t="shared" ref="O12:S12" si="0">O13+O17</f>
        <v>1399680.3800000001</v>
      </c>
      <c r="P12" s="140">
        <f t="shared" si="0"/>
        <v>6319614</v>
      </c>
      <c r="Q12" s="140">
        <f t="shared" si="0"/>
        <v>12567858.466666667</v>
      </c>
      <c r="R12" s="140">
        <f t="shared" si="0"/>
        <v>12635094.760000002</v>
      </c>
      <c r="S12" s="140">
        <f t="shared" si="0"/>
        <v>12635094.760000002</v>
      </c>
    </row>
    <row r="13" spans="1:21" ht="85.5">
      <c r="A13" s="147"/>
      <c r="B13" s="147" t="s">
        <v>76</v>
      </c>
      <c r="C13" s="147"/>
      <c r="D13" s="145"/>
      <c r="E13" s="133"/>
      <c r="F13" s="133"/>
      <c r="G13" s="133"/>
      <c r="H13" s="133"/>
      <c r="I13" s="133"/>
      <c r="J13" s="136"/>
      <c r="K13" s="136"/>
      <c r="L13" s="136"/>
      <c r="M13" s="136"/>
      <c r="N13" s="136">
        <f>N14+N15+N16</f>
        <v>4848564.0866666669</v>
      </c>
      <c r="O13" s="136">
        <f t="shared" ref="O13:S13" si="1">O14+O15+O16</f>
        <v>1399680.3800000001</v>
      </c>
      <c r="P13" s="136">
        <f t="shared" si="1"/>
        <v>3226529.11</v>
      </c>
      <c r="Q13" s="136">
        <f t="shared" si="1"/>
        <v>9474773.5766666662</v>
      </c>
      <c r="R13" s="136">
        <f t="shared" si="1"/>
        <v>9593994.4900000021</v>
      </c>
      <c r="S13" s="136">
        <f t="shared" si="1"/>
        <v>9593994.4900000021</v>
      </c>
      <c r="U13" s="148"/>
    </row>
    <row r="14" spans="1:21" ht="105">
      <c r="A14" s="146"/>
      <c r="B14" s="149" t="s">
        <v>19</v>
      </c>
      <c r="C14" s="146" t="s">
        <v>0</v>
      </c>
      <c r="D14" s="149" t="s">
        <v>20</v>
      </c>
      <c r="E14" s="150">
        <v>23</v>
      </c>
      <c r="F14" s="150">
        <v>20</v>
      </c>
      <c r="G14" s="150">
        <f>(E14*8+F14*4)/12</f>
        <v>22</v>
      </c>
      <c r="H14" s="150">
        <v>20</v>
      </c>
      <c r="I14" s="150">
        <v>20</v>
      </c>
      <c r="J14" s="136">
        <v>47587</v>
      </c>
      <c r="K14" s="136">
        <v>11762.02</v>
      </c>
      <c r="L14" s="136">
        <v>27113.69</v>
      </c>
      <c r="M14" s="136">
        <f>J14+K14+L14</f>
        <v>86462.71</v>
      </c>
      <c r="N14" s="136">
        <f>G14*J14</f>
        <v>1046914</v>
      </c>
      <c r="O14" s="136">
        <f>G14*K14</f>
        <v>258764.44</v>
      </c>
      <c r="P14" s="136">
        <f>G14*L14</f>
        <v>596501.17999999993</v>
      </c>
      <c r="Q14" s="136">
        <f>SUM(N14:P14)</f>
        <v>1902179.6199999999</v>
      </c>
      <c r="R14" s="136">
        <f>H14*M14</f>
        <v>1729254.2000000002</v>
      </c>
      <c r="S14" s="136">
        <f>I14*M14</f>
        <v>1729254.2000000002</v>
      </c>
      <c r="U14" s="148"/>
    </row>
    <row r="15" spans="1:21">
      <c r="A15" s="151"/>
      <c r="B15" s="180" t="s">
        <v>24</v>
      </c>
      <c r="C15" s="180"/>
      <c r="D15" s="180" t="s">
        <v>20</v>
      </c>
      <c r="E15" s="150">
        <v>97</v>
      </c>
      <c r="F15" s="150">
        <v>72</v>
      </c>
      <c r="G15" s="150">
        <f>(E15*8+F15*4)/12</f>
        <v>88.666666666666671</v>
      </c>
      <c r="H15" s="150">
        <v>72</v>
      </c>
      <c r="I15" s="150">
        <v>72</v>
      </c>
      <c r="J15" s="136">
        <v>37686.36</v>
      </c>
      <c r="K15" s="136">
        <v>11762.02</v>
      </c>
      <c r="L15" s="136">
        <v>27113.69</v>
      </c>
      <c r="M15" s="136">
        <f t="shared" ref="M15:M80" si="2">J15+K15+L15</f>
        <v>76562.070000000007</v>
      </c>
      <c r="N15" s="136">
        <f>G15*J15</f>
        <v>3341523.9200000004</v>
      </c>
      <c r="O15" s="136">
        <f t="shared" ref="O15:O17" si="3">G15*K15</f>
        <v>1042899.1066666668</v>
      </c>
      <c r="P15" s="136">
        <f>G15*L15</f>
        <v>2404080.5133333332</v>
      </c>
      <c r="Q15" s="136">
        <f t="shared" ref="Q15:Q79" si="4">SUM(N15:P15)</f>
        <v>6788503.540000001</v>
      </c>
      <c r="R15" s="136">
        <f t="shared" ref="R15:R79" si="5">H15*M15</f>
        <v>5512469.040000001</v>
      </c>
      <c r="S15" s="136">
        <f t="shared" ref="S15:S79" si="6">I15*M15</f>
        <v>5512469.040000001</v>
      </c>
      <c r="U15" s="148"/>
    </row>
    <row r="16" spans="1:21" ht="120">
      <c r="A16" s="151"/>
      <c r="B16" s="149" t="s">
        <v>24</v>
      </c>
      <c r="C16" s="146" t="s">
        <v>162</v>
      </c>
      <c r="D16" s="180" t="s">
        <v>20</v>
      </c>
      <c r="E16" s="150"/>
      <c r="F16" s="150">
        <v>25</v>
      </c>
      <c r="G16" s="150">
        <f>(E16*8+F16*4)/12</f>
        <v>8.3333333333333339</v>
      </c>
      <c r="H16" s="150">
        <v>25</v>
      </c>
      <c r="I16" s="150">
        <v>25</v>
      </c>
      <c r="J16" s="136">
        <f>55215.14</f>
        <v>55215.14</v>
      </c>
      <c r="K16" s="136">
        <v>11762.02</v>
      </c>
      <c r="L16" s="136">
        <v>27113.69</v>
      </c>
      <c r="M16" s="136">
        <f t="shared" si="2"/>
        <v>94090.85</v>
      </c>
      <c r="N16" s="136">
        <f>G16*J16</f>
        <v>460126.16666666669</v>
      </c>
      <c r="O16" s="136">
        <f t="shared" si="3"/>
        <v>98016.833333333343</v>
      </c>
      <c r="P16" s="136">
        <f>G16*L16</f>
        <v>225947.41666666669</v>
      </c>
      <c r="Q16" s="136">
        <f t="shared" si="4"/>
        <v>784090.41666666674</v>
      </c>
      <c r="R16" s="136">
        <f t="shared" si="5"/>
        <v>2352271.25</v>
      </c>
      <c r="S16" s="136">
        <f t="shared" si="6"/>
        <v>2352271.25</v>
      </c>
      <c r="U16" s="148"/>
    </row>
    <row r="17" spans="1:19">
      <c r="A17" s="180"/>
      <c r="B17" s="180" t="s">
        <v>28</v>
      </c>
      <c r="C17" s="180"/>
      <c r="D17" s="145"/>
      <c r="E17" s="150" t="s">
        <v>27</v>
      </c>
      <c r="F17" s="150">
        <v>117</v>
      </c>
      <c r="G17" s="150">
        <f t="shared" ref="G17" si="7">(E17*8+F17*4)/12</f>
        <v>119</v>
      </c>
      <c r="H17" s="150">
        <v>117</v>
      </c>
      <c r="I17" s="150">
        <v>117</v>
      </c>
      <c r="J17" s="136" t="s">
        <v>23</v>
      </c>
      <c r="K17" s="136"/>
      <c r="L17" s="136">
        <v>25992.31</v>
      </c>
      <c r="M17" s="136">
        <f t="shared" si="2"/>
        <v>25992.31</v>
      </c>
      <c r="N17" s="136">
        <f t="shared" ref="N17" si="8">E17*J17</f>
        <v>0</v>
      </c>
      <c r="O17" s="136">
        <f t="shared" si="3"/>
        <v>0</v>
      </c>
      <c r="P17" s="136">
        <f>G17*L17</f>
        <v>3093084.89</v>
      </c>
      <c r="Q17" s="136">
        <f t="shared" si="4"/>
        <v>3093084.89</v>
      </c>
      <c r="R17" s="136">
        <f t="shared" si="5"/>
        <v>3041100.27</v>
      </c>
      <c r="S17" s="136">
        <f t="shared" si="6"/>
        <v>3041100.27</v>
      </c>
    </row>
    <row r="18" spans="1:19">
      <c r="A18" s="152" t="s">
        <v>29</v>
      </c>
      <c r="B18" s="180"/>
      <c r="C18" s="180"/>
      <c r="D18" s="145"/>
      <c r="E18" s="150"/>
      <c r="F18" s="150"/>
      <c r="G18" s="150"/>
      <c r="H18" s="150"/>
      <c r="I18" s="150"/>
      <c r="J18" s="136"/>
      <c r="K18" s="136"/>
      <c r="L18" s="136"/>
      <c r="M18" s="136">
        <f t="shared" si="2"/>
        <v>0</v>
      </c>
      <c r="N18" s="140">
        <f>N19+N21</f>
        <v>2191749.33</v>
      </c>
      <c r="O18" s="140">
        <f t="shared" ref="O18:S18" si="9">O19+O21</f>
        <v>403829.35333333333</v>
      </c>
      <c r="P18" s="140">
        <f>P19+P21</f>
        <v>1814268.1033333335</v>
      </c>
      <c r="Q18" s="140">
        <f t="shared" si="9"/>
        <v>4409846.7866666671</v>
      </c>
      <c r="R18" s="140">
        <f t="shared" si="9"/>
        <v>4452941.7933333339</v>
      </c>
      <c r="S18" s="140">
        <f t="shared" si="9"/>
        <v>4452941.7933333339</v>
      </c>
    </row>
    <row r="19" spans="1:19" ht="85.5">
      <c r="A19" s="153"/>
      <c r="B19" s="147" t="s">
        <v>76</v>
      </c>
      <c r="C19" s="147"/>
      <c r="D19" s="145"/>
      <c r="E19" s="129"/>
      <c r="F19" s="129"/>
      <c r="G19" s="129"/>
      <c r="H19" s="129"/>
      <c r="I19" s="129"/>
      <c r="J19" s="136"/>
      <c r="K19" s="136"/>
      <c r="L19" s="136"/>
      <c r="M19" s="136">
        <f t="shared" si="2"/>
        <v>0</v>
      </c>
      <c r="N19" s="136">
        <f t="shared" ref="N19:S19" si="10">SUM(N20:N20)</f>
        <v>2191749.33</v>
      </c>
      <c r="O19" s="136">
        <f t="shared" si="10"/>
        <v>403829.35333333333</v>
      </c>
      <c r="P19" s="136">
        <f t="shared" si="10"/>
        <v>921865.46</v>
      </c>
      <c r="Q19" s="136">
        <f t="shared" si="10"/>
        <v>3517444.1433333335</v>
      </c>
      <c r="R19" s="136">
        <f t="shared" si="10"/>
        <v>3595195.5633333335</v>
      </c>
      <c r="S19" s="136">
        <f t="shared" si="10"/>
        <v>3595195.5633333335</v>
      </c>
    </row>
    <row r="20" spans="1:19" ht="105">
      <c r="A20" s="146"/>
      <c r="B20" s="145"/>
      <c r="C20" s="146" t="s">
        <v>30</v>
      </c>
      <c r="D20" s="180" t="s">
        <v>31</v>
      </c>
      <c r="E20" s="150" t="s">
        <v>165</v>
      </c>
      <c r="F20" s="150" t="s">
        <v>191</v>
      </c>
      <c r="G20" s="150" t="s">
        <v>192</v>
      </c>
      <c r="H20" s="150" t="s">
        <v>191</v>
      </c>
      <c r="I20" s="150" t="s">
        <v>191</v>
      </c>
      <c r="J20" s="136">
        <v>730583.11</v>
      </c>
      <c r="K20" s="136">
        <v>11762.02</v>
      </c>
      <c r="L20" s="136">
        <v>27113.69</v>
      </c>
      <c r="M20" s="136">
        <f t="shared" si="2"/>
        <v>769458.82</v>
      </c>
      <c r="N20" s="136">
        <f>3*J20</f>
        <v>2191749.33</v>
      </c>
      <c r="O20" s="136">
        <f>((35*11762.02*8)+(33*11762.02*4))/12</f>
        <v>403829.35333333333</v>
      </c>
      <c r="P20" s="136">
        <f>L20*34</f>
        <v>921865.46</v>
      </c>
      <c r="Q20" s="136">
        <f t="shared" si="4"/>
        <v>3517444.1433333335</v>
      </c>
      <c r="R20" s="136">
        <f>Q20+77751.42</f>
        <v>3595195.5633333335</v>
      </c>
      <c r="S20" s="136">
        <f>R20</f>
        <v>3595195.5633333335</v>
      </c>
    </row>
    <row r="21" spans="1:19">
      <c r="A21" s="180"/>
      <c r="B21" s="180" t="s">
        <v>28</v>
      </c>
      <c r="C21" s="180"/>
      <c r="D21" s="180" t="s">
        <v>20</v>
      </c>
      <c r="E21" s="150">
        <v>35</v>
      </c>
      <c r="F21" s="150">
        <v>33</v>
      </c>
      <c r="G21" s="150">
        <f t="shared" ref="G21" si="11">(E21*8+F21*4)/12</f>
        <v>34.333333333333336</v>
      </c>
      <c r="H21" s="150">
        <v>33</v>
      </c>
      <c r="I21" s="150">
        <v>33</v>
      </c>
      <c r="J21" s="136" t="s">
        <v>23</v>
      </c>
      <c r="K21" s="136"/>
      <c r="L21" s="136">
        <v>25992.31</v>
      </c>
      <c r="M21" s="136">
        <f t="shared" si="2"/>
        <v>25992.31</v>
      </c>
      <c r="N21" s="136">
        <f t="shared" ref="N21" si="12">E21*J21</f>
        <v>0</v>
      </c>
      <c r="O21" s="136">
        <f t="shared" ref="O21:O28" si="13">E21*K21</f>
        <v>0</v>
      </c>
      <c r="P21" s="136">
        <f>G21*L21</f>
        <v>892402.64333333343</v>
      </c>
      <c r="Q21" s="136">
        <f t="shared" si="4"/>
        <v>892402.64333333343</v>
      </c>
      <c r="R21" s="136">
        <f t="shared" si="5"/>
        <v>857746.2300000001</v>
      </c>
      <c r="S21" s="136">
        <f t="shared" si="6"/>
        <v>857746.2300000001</v>
      </c>
    </row>
    <row r="22" spans="1:19">
      <c r="A22" s="181" t="s">
        <v>35</v>
      </c>
      <c r="B22" s="154"/>
      <c r="C22" s="154"/>
      <c r="D22" s="154"/>
      <c r="E22" s="155"/>
      <c r="F22" s="155"/>
      <c r="G22" s="155"/>
      <c r="H22" s="155"/>
      <c r="I22" s="155"/>
      <c r="J22" s="140"/>
      <c r="K22" s="140"/>
      <c r="L22" s="140"/>
      <c r="M22" s="140">
        <f t="shared" si="2"/>
        <v>0</v>
      </c>
      <c r="N22" s="140">
        <f>N23+N28</f>
        <v>8214541.2266666675</v>
      </c>
      <c r="O22" s="140">
        <f t="shared" ref="O22:S22" si="14">O23+O28</f>
        <v>1419283.7466666666</v>
      </c>
      <c r="P22" s="140">
        <f>P23+P28</f>
        <v>6408124</v>
      </c>
      <c r="Q22" s="140">
        <f t="shared" si="14"/>
        <v>16041948.973333333</v>
      </c>
      <c r="R22" s="140">
        <f t="shared" si="14"/>
        <v>16215722.799999999</v>
      </c>
      <c r="S22" s="140">
        <f t="shared" si="14"/>
        <v>16215722.799999999</v>
      </c>
    </row>
    <row r="23" spans="1:19" ht="85.5">
      <c r="A23" s="146"/>
      <c r="B23" s="147" t="s">
        <v>76</v>
      </c>
      <c r="C23" s="147"/>
      <c r="D23" s="145"/>
      <c r="E23" s="129"/>
      <c r="F23" s="129"/>
      <c r="G23" s="129"/>
      <c r="H23" s="129"/>
      <c r="I23" s="129"/>
      <c r="J23" s="136"/>
      <c r="K23" s="136"/>
      <c r="L23" s="136"/>
      <c r="M23" s="136">
        <f t="shared" si="2"/>
        <v>0</v>
      </c>
      <c r="N23" s="136">
        <f>SUM(N24:N27)</f>
        <v>8214541.2266666675</v>
      </c>
      <c r="O23" s="136">
        <f t="shared" ref="O23:S23" si="15">SUM(O24:O27)</f>
        <v>1419283.7466666666</v>
      </c>
      <c r="P23" s="136">
        <f t="shared" si="15"/>
        <v>3271718.5933333328</v>
      </c>
      <c r="Q23" s="136">
        <f t="shared" si="15"/>
        <v>12905543.566666666</v>
      </c>
      <c r="R23" s="136">
        <f t="shared" si="15"/>
        <v>13044660.979999999</v>
      </c>
      <c r="S23" s="136">
        <f t="shared" si="15"/>
        <v>13044660.979999999</v>
      </c>
    </row>
    <row r="24" spans="1:19" ht="105">
      <c r="A24" s="146"/>
      <c r="B24" s="149" t="s">
        <v>19</v>
      </c>
      <c r="C24" s="156" t="s">
        <v>0</v>
      </c>
      <c r="D24" s="180" t="s">
        <v>20</v>
      </c>
      <c r="E24" s="150">
        <v>16</v>
      </c>
      <c r="F24" s="150">
        <v>20</v>
      </c>
      <c r="G24" s="150">
        <f t="shared" ref="G24:G27" si="16">(E24*8+F24*4)/12</f>
        <v>17.333333333333332</v>
      </c>
      <c r="H24" s="150">
        <v>20</v>
      </c>
      <c r="I24" s="150">
        <v>20</v>
      </c>
      <c r="J24" s="136">
        <v>41608.51</v>
      </c>
      <c r="K24" s="136">
        <v>11762.02</v>
      </c>
      <c r="L24" s="136">
        <v>27113.69</v>
      </c>
      <c r="M24" s="136">
        <f t="shared" si="2"/>
        <v>80484.22</v>
      </c>
      <c r="N24" s="136">
        <f>G24*J24</f>
        <v>721214.17333333334</v>
      </c>
      <c r="O24" s="136">
        <f>G24*K24</f>
        <v>203875.01333333334</v>
      </c>
      <c r="P24" s="136">
        <f>G24*L24</f>
        <v>469970.62666666659</v>
      </c>
      <c r="Q24" s="136">
        <f t="shared" si="4"/>
        <v>1395059.8133333332</v>
      </c>
      <c r="R24" s="136">
        <f t="shared" si="5"/>
        <v>1609684.4</v>
      </c>
      <c r="S24" s="136">
        <f t="shared" si="6"/>
        <v>1609684.4</v>
      </c>
    </row>
    <row r="25" spans="1:19">
      <c r="A25" s="151"/>
      <c r="B25" s="149" t="s">
        <v>24</v>
      </c>
      <c r="C25" s="149"/>
      <c r="D25" s="149" t="s">
        <v>20</v>
      </c>
      <c r="E25" s="150">
        <v>46</v>
      </c>
      <c r="F25" s="150">
        <v>42</v>
      </c>
      <c r="G25" s="150">
        <f t="shared" si="16"/>
        <v>44.666666666666664</v>
      </c>
      <c r="H25" s="150">
        <v>42</v>
      </c>
      <c r="I25" s="150">
        <v>42</v>
      </c>
      <c r="J25" s="136">
        <v>32991.18</v>
      </c>
      <c r="K25" s="136">
        <v>11762.02</v>
      </c>
      <c r="L25" s="136">
        <v>27113.69</v>
      </c>
      <c r="M25" s="136">
        <f t="shared" si="2"/>
        <v>71866.89</v>
      </c>
      <c r="N25" s="136">
        <f>G25*J25</f>
        <v>1473606.04</v>
      </c>
      <c r="O25" s="136">
        <f>G25*K25</f>
        <v>525370.22666666668</v>
      </c>
      <c r="P25" s="136">
        <f>G25*L25</f>
        <v>1211078.1533333333</v>
      </c>
      <c r="Q25" s="136">
        <f t="shared" si="4"/>
        <v>3210054.42</v>
      </c>
      <c r="R25" s="136">
        <f t="shared" si="5"/>
        <v>3018409.38</v>
      </c>
      <c r="S25" s="136">
        <f t="shared" si="6"/>
        <v>3018409.38</v>
      </c>
    </row>
    <row r="26" spans="1:19" ht="105">
      <c r="A26" s="146"/>
      <c r="B26" s="149" t="s">
        <v>24</v>
      </c>
      <c r="C26" s="156" t="s">
        <v>38</v>
      </c>
      <c r="D26" s="180" t="s">
        <v>20</v>
      </c>
      <c r="E26" s="150">
        <v>36</v>
      </c>
      <c r="F26" s="150">
        <v>36</v>
      </c>
      <c r="G26" s="150">
        <f t="shared" si="16"/>
        <v>36</v>
      </c>
      <c r="H26" s="150">
        <v>36</v>
      </c>
      <c r="I26" s="150">
        <v>36</v>
      </c>
      <c r="J26" s="136">
        <v>136848.89000000001</v>
      </c>
      <c r="K26" s="136">
        <v>11762.02</v>
      </c>
      <c r="L26" s="136">
        <v>27113.69</v>
      </c>
      <c r="M26" s="136">
        <f t="shared" si="2"/>
        <v>175724.6</v>
      </c>
      <c r="N26" s="136">
        <f>G26*J26</f>
        <v>4926560.040000001</v>
      </c>
      <c r="O26" s="136">
        <f>G26*K26</f>
        <v>423432.72000000003</v>
      </c>
      <c r="P26" s="136">
        <f>G26*L26</f>
        <v>976092.84</v>
      </c>
      <c r="Q26" s="136">
        <f t="shared" si="4"/>
        <v>6326085.6000000006</v>
      </c>
      <c r="R26" s="136">
        <f t="shared" si="5"/>
        <v>6326085.6000000006</v>
      </c>
      <c r="S26" s="136">
        <f t="shared" si="6"/>
        <v>6326085.6000000006</v>
      </c>
    </row>
    <row r="27" spans="1:19" ht="120">
      <c r="A27" s="146"/>
      <c r="B27" s="149" t="s">
        <v>24</v>
      </c>
      <c r="C27" s="156" t="s">
        <v>162</v>
      </c>
      <c r="D27" s="180" t="s">
        <v>20</v>
      </c>
      <c r="E27" s="150">
        <v>22</v>
      </c>
      <c r="F27" s="150">
        <v>24</v>
      </c>
      <c r="G27" s="150">
        <f t="shared" si="16"/>
        <v>22.666666666666668</v>
      </c>
      <c r="H27" s="150">
        <v>24</v>
      </c>
      <c r="I27" s="150">
        <v>24</v>
      </c>
      <c r="J27" s="136">
        <v>48227.69</v>
      </c>
      <c r="K27" s="136" t="s">
        <v>163</v>
      </c>
      <c r="L27" s="136" t="s">
        <v>164</v>
      </c>
      <c r="M27" s="136">
        <f t="shared" si="2"/>
        <v>87103.400000000009</v>
      </c>
      <c r="N27" s="136">
        <f>G27*J27</f>
        <v>1093160.9733333334</v>
      </c>
      <c r="O27" s="136">
        <f>G27*K27</f>
        <v>266605.78666666668</v>
      </c>
      <c r="P27" s="136">
        <f>G27*L27</f>
        <v>614576.97333333339</v>
      </c>
      <c r="Q27" s="136">
        <f t="shared" si="4"/>
        <v>1974343.7333333334</v>
      </c>
      <c r="R27" s="136">
        <f t="shared" si="5"/>
        <v>2090481.6</v>
      </c>
      <c r="S27" s="136">
        <f t="shared" si="6"/>
        <v>2090481.6</v>
      </c>
    </row>
    <row r="28" spans="1:19">
      <c r="A28" s="149"/>
      <c r="B28" s="149" t="s">
        <v>28</v>
      </c>
      <c r="C28" s="149"/>
      <c r="D28" s="180" t="s">
        <v>20</v>
      </c>
      <c r="E28" s="150" t="s">
        <v>27</v>
      </c>
      <c r="F28" s="150">
        <v>122</v>
      </c>
      <c r="G28" s="150">
        <f t="shared" ref="G28" si="17">(E28*8+F28*4)/12</f>
        <v>120.66666666666667</v>
      </c>
      <c r="H28" s="150">
        <v>122</v>
      </c>
      <c r="I28" s="150">
        <v>122</v>
      </c>
      <c r="J28" s="136" t="s">
        <v>23</v>
      </c>
      <c r="K28" s="136"/>
      <c r="L28" s="136">
        <v>25992.31</v>
      </c>
      <c r="M28" s="136">
        <f t="shared" si="2"/>
        <v>25992.31</v>
      </c>
      <c r="N28" s="136">
        <f t="shared" ref="N28:N53" si="18">E28*J28</f>
        <v>0</v>
      </c>
      <c r="O28" s="136">
        <f t="shared" si="13"/>
        <v>0</v>
      </c>
      <c r="P28" s="136">
        <f>G28*L28</f>
        <v>3136405.4066666667</v>
      </c>
      <c r="Q28" s="136">
        <f t="shared" si="4"/>
        <v>3136405.4066666667</v>
      </c>
      <c r="R28" s="136">
        <f t="shared" si="5"/>
        <v>3171061.8200000003</v>
      </c>
      <c r="S28" s="136">
        <f t="shared" si="6"/>
        <v>3171061.8200000003</v>
      </c>
    </row>
    <row r="29" spans="1:19">
      <c r="A29" s="181" t="s">
        <v>40</v>
      </c>
      <c r="B29" s="157"/>
      <c r="C29" s="157"/>
      <c r="D29" s="157"/>
      <c r="E29" s="155"/>
      <c r="F29" s="155"/>
      <c r="G29" s="155"/>
      <c r="H29" s="155"/>
      <c r="I29" s="155"/>
      <c r="J29" s="140"/>
      <c r="K29" s="140"/>
      <c r="L29" s="140"/>
      <c r="M29" s="140">
        <f t="shared" si="2"/>
        <v>0</v>
      </c>
      <c r="N29" s="140">
        <f>N30+N34</f>
        <v>3952737.5833333335</v>
      </c>
      <c r="O29" s="140">
        <f t="shared" ref="O29:S29" si="19">O30+O34</f>
        <v>1242853.4466666668</v>
      </c>
      <c r="P29" s="140">
        <f t="shared" si="19"/>
        <v>5611534</v>
      </c>
      <c r="Q29" s="140">
        <f t="shared" si="19"/>
        <v>10807125.030000001</v>
      </c>
      <c r="R29" s="140">
        <f t="shared" si="19"/>
        <v>11024193.75</v>
      </c>
      <c r="S29" s="140">
        <f t="shared" si="19"/>
        <v>11024193.75</v>
      </c>
    </row>
    <row r="30" spans="1:19" ht="85.5">
      <c r="A30" s="146"/>
      <c r="B30" s="147" t="s">
        <v>76</v>
      </c>
      <c r="C30" s="147"/>
      <c r="D30" s="158"/>
      <c r="E30" s="129"/>
      <c r="F30" s="129"/>
      <c r="G30" s="129"/>
      <c r="H30" s="129"/>
      <c r="I30" s="129"/>
      <c r="J30" s="136"/>
      <c r="K30" s="136"/>
      <c r="L30" s="136"/>
      <c r="M30" s="136">
        <f t="shared" si="2"/>
        <v>0</v>
      </c>
      <c r="N30" s="136">
        <f>SUM(N31:N33)</f>
        <v>3952737.5833333335</v>
      </c>
      <c r="O30" s="136">
        <f t="shared" ref="O30:S30" si="20">SUM(O31:O33)</f>
        <v>1242853.4466666668</v>
      </c>
      <c r="P30" s="136">
        <f t="shared" si="20"/>
        <v>2865013.2433333332</v>
      </c>
      <c r="Q30" s="136">
        <f t="shared" si="20"/>
        <v>8060604.2733333344</v>
      </c>
      <c r="R30" s="136">
        <f t="shared" si="20"/>
        <v>8243016.5800000001</v>
      </c>
      <c r="S30" s="136">
        <f t="shared" si="20"/>
        <v>8243016.5800000001</v>
      </c>
    </row>
    <row r="31" spans="1:19" ht="105">
      <c r="A31" s="146"/>
      <c r="B31" s="149" t="s">
        <v>19</v>
      </c>
      <c r="C31" s="146" t="s">
        <v>0</v>
      </c>
      <c r="D31" s="180" t="s">
        <v>20</v>
      </c>
      <c r="E31" s="150">
        <v>12</v>
      </c>
      <c r="F31" s="150">
        <v>20</v>
      </c>
      <c r="G31" s="150">
        <f t="shared" ref="G31:G33" si="21">(E31*8+F31*4)/12</f>
        <v>14.666666666666666</v>
      </c>
      <c r="H31" s="150">
        <v>20</v>
      </c>
      <c r="I31" s="150">
        <v>20</v>
      </c>
      <c r="J31" s="136">
        <v>41608.51</v>
      </c>
      <c r="K31" s="136">
        <v>11762.02</v>
      </c>
      <c r="L31" s="136">
        <v>27113.69</v>
      </c>
      <c r="M31" s="136">
        <f t="shared" si="2"/>
        <v>80484.22</v>
      </c>
      <c r="N31" s="136">
        <f>G31*J31</f>
        <v>610258.14666666673</v>
      </c>
      <c r="O31" s="136">
        <f>G31*K31</f>
        <v>172509.62666666668</v>
      </c>
      <c r="P31" s="136">
        <f>G31*L31</f>
        <v>397667.45333333331</v>
      </c>
      <c r="Q31" s="136">
        <f t="shared" si="4"/>
        <v>1180435.2266666668</v>
      </c>
      <c r="R31" s="136">
        <f t="shared" si="5"/>
        <v>1609684.4</v>
      </c>
      <c r="S31" s="136">
        <f t="shared" si="6"/>
        <v>1609684.4</v>
      </c>
    </row>
    <row r="32" spans="1:19">
      <c r="A32" s="151"/>
      <c r="B32" s="149" t="s">
        <v>24</v>
      </c>
      <c r="C32" s="149"/>
      <c r="D32" s="149" t="s">
        <v>20</v>
      </c>
      <c r="E32" s="150">
        <v>72</v>
      </c>
      <c r="F32" s="150">
        <v>62</v>
      </c>
      <c r="G32" s="150">
        <f t="shared" si="21"/>
        <v>68.666666666666671</v>
      </c>
      <c r="H32" s="150">
        <v>62</v>
      </c>
      <c r="I32" s="150">
        <v>62</v>
      </c>
      <c r="J32" s="136">
        <v>32991.18</v>
      </c>
      <c r="K32" s="136">
        <v>11762.02</v>
      </c>
      <c r="L32" s="136">
        <v>27113.69</v>
      </c>
      <c r="M32" s="136">
        <f t="shared" si="2"/>
        <v>71866.89</v>
      </c>
      <c r="N32" s="136">
        <f>G32*J32</f>
        <v>2265394.3600000003</v>
      </c>
      <c r="O32" s="136">
        <f>G32*K32</f>
        <v>807658.70666666678</v>
      </c>
      <c r="P32" s="136">
        <f>G32*L32</f>
        <v>1861806.7133333334</v>
      </c>
      <c r="Q32" s="136">
        <f t="shared" si="4"/>
        <v>4934859.7800000012</v>
      </c>
      <c r="R32" s="136">
        <f t="shared" si="5"/>
        <v>4455747.18</v>
      </c>
      <c r="S32" s="136">
        <f t="shared" si="6"/>
        <v>4455747.18</v>
      </c>
    </row>
    <row r="33" spans="1:19" ht="120">
      <c r="A33" s="151"/>
      <c r="B33" s="149" t="s">
        <v>24</v>
      </c>
      <c r="C33" s="156" t="s">
        <v>162</v>
      </c>
      <c r="D33" s="180" t="s">
        <v>20</v>
      </c>
      <c r="E33" s="150">
        <v>21</v>
      </c>
      <c r="F33" s="150">
        <v>25</v>
      </c>
      <c r="G33" s="150">
        <f t="shared" si="21"/>
        <v>22.333333333333332</v>
      </c>
      <c r="H33" s="150">
        <v>25</v>
      </c>
      <c r="I33" s="150">
        <v>25</v>
      </c>
      <c r="J33" s="136">
        <v>48227.69</v>
      </c>
      <c r="K33" s="136" t="s">
        <v>163</v>
      </c>
      <c r="L33" s="136" t="s">
        <v>164</v>
      </c>
      <c r="M33" s="136">
        <f t="shared" si="2"/>
        <v>87103.400000000009</v>
      </c>
      <c r="N33" s="136">
        <f t="shared" ref="N33:N34" si="22">G33*J33</f>
        <v>1077085.0766666667</v>
      </c>
      <c r="O33" s="136">
        <f t="shared" ref="O33:O34" si="23">G33*K33</f>
        <v>262685.11333333334</v>
      </c>
      <c r="P33" s="136">
        <f>G33*L33</f>
        <v>605539.07666666666</v>
      </c>
      <c r="Q33" s="136">
        <f t="shared" si="4"/>
        <v>1945309.2666666666</v>
      </c>
      <c r="R33" s="136">
        <f t="shared" si="5"/>
        <v>2177585</v>
      </c>
      <c r="S33" s="136">
        <f t="shared" si="6"/>
        <v>2177585</v>
      </c>
    </row>
    <row r="34" spans="1:19">
      <c r="A34" s="149"/>
      <c r="B34" s="149" t="s">
        <v>28</v>
      </c>
      <c r="C34" s="149"/>
      <c r="D34" s="149" t="s">
        <v>20</v>
      </c>
      <c r="E34" s="150">
        <v>105</v>
      </c>
      <c r="F34" s="150">
        <v>107</v>
      </c>
      <c r="G34" s="150">
        <f t="shared" ref="G34" si="24">(E34*8+F34*4)/12</f>
        <v>105.66666666666667</v>
      </c>
      <c r="H34" s="150">
        <v>107</v>
      </c>
      <c r="I34" s="150">
        <v>107</v>
      </c>
      <c r="J34" s="136" t="s">
        <v>23</v>
      </c>
      <c r="K34" s="136"/>
      <c r="L34" s="136">
        <v>25992.31</v>
      </c>
      <c r="M34" s="136">
        <f t="shared" si="2"/>
        <v>25992.31</v>
      </c>
      <c r="N34" s="136">
        <f t="shared" si="22"/>
        <v>0</v>
      </c>
      <c r="O34" s="136">
        <f t="shared" si="23"/>
        <v>0</v>
      </c>
      <c r="P34" s="136">
        <f>G34*L34</f>
        <v>2746520.7566666668</v>
      </c>
      <c r="Q34" s="136">
        <f t="shared" si="4"/>
        <v>2746520.7566666668</v>
      </c>
      <c r="R34" s="136">
        <f t="shared" si="5"/>
        <v>2781177.17</v>
      </c>
      <c r="S34" s="136">
        <f t="shared" si="6"/>
        <v>2781177.17</v>
      </c>
    </row>
    <row r="35" spans="1:19">
      <c r="A35" s="181" t="s">
        <v>44</v>
      </c>
      <c r="B35" s="157"/>
      <c r="C35" s="157"/>
      <c r="D35" s="157"/>
      <c r="E35" s="155"/>
      <c r="F35" s="155"/>
      <c r="G35" s="155"/>
      <c r="H35" s="155"/>
      <c r="I35" s="155"/>
      <c r="J35" s="140"/>
      <c r="K35" s="140"/>
      <c r="L35" s="140"/>
      <c r="M35" s="140">
        <f t="shared" si="2"/>
        <v>0</v>
      </c>
      <c r="N35" s="140">
        <f>N36+N41</f>
        <v>11309292.133333333</v>
      </c>
      <c r="O35" s="140">
        <f t="shared" ref="O35:S35" si="25">O36+O41</f>
        <v>2556279.0133333337</v>
      </c>
      <c r="P35" s="140">
        <f t="shared" si="25"/>
        <v>11541704</v>
      </c>
      <c r="Q35" s="140">
        <f t="shared" si="25"/>
        <v>25407275.146666668</v>
      </c>
      <c r="R35" s="140">
        <f t="shared" si="25"/>
        <v>25694234.839999996</v>
      </c>
      <c r="S35" s="140">
        <f t="shared" si="25"/>
        <v>25694234.839999996</v>
      </c>
    </row>
    <row r="36" spans="1:19" ht="85.5">
      <c r="A36" s="146"/>
      <c r="B36" s="147" t="s">
        <v>76</v>
      </c>
      <c r="C36" s="147"/>
      <c r="D36" s="158"/>
      <c r="E36" s="129"/>
      <c r="F36" s="129"/>
      <c r="G36" s="129"/>
      <c r="H36" s="129"/>
      <c r="I36" s="129"/>
      <c r="J36" s="136"/>
      <c r="K36" s="136"/>
      <c r="L36" s="136"/>
      <c r="M36" s="136">
        <f t="shared" si="2"/>
        <v>0</v>
      </c>
      <c r="N36" s="136">
        <f>SUM(N37:N40)</f>
        <v>11309292.133333333</v>
      </c>
      <c r="O36" s="136">
        <f t="shared" ref="O36:S36" si="26">SUM(O37:O40)</f>
        <v>2556279.0133333337</v>
      </c>
      <c r="P36" s="136">
        <f t="shared" si="26"/>
        <v>5892708.626666666</v>
      </c>
      <c r="Q36" s="136">
        <f t="shared" si="26"/>
        <v>19758279.773333333</v>
      </c>
      <c r="R36" s="136">
        <f t="shared" si="26"/>
        <v>20027911.259999998</v>
      </c>
      <c r="S36" s="136">
        <f t="shared" si="26"/>
        <v>20027911.259999998</v>
      </c>
    </row>
    <row r="37" spans="1:19" ht="105">
      <c r="A37" s="146"/>
      <c r="B37" s="149" t="s">
        <v>19</v>
      </c>
      <c r="C37" s="146" t="s">
        <v>0</v>
      </c>
      <c r="D37" s="180" t="s">
        <v>20</v>
      </c>
      <c r="E37" s="150">
        <v>35</v>
      </c>
      <c r="F37" s="150">
        <v>40</v>
      </c>
      <c r="G37" s="150">
        <f t="shared" ref="G37:G40" si="27">(E37*8+F37*4)/12</f>
        <v>36.666666666666664</v>
      </c>
      <c r="H37" s="150">
        <v>40</v>
      </c>
      <c r="I37" s="150">
        <v>40</v>
      </c>
      <c r="J37" s="136">
        <v>41608.51</v>
      </c>
      <c r="K37" s="136">
        <v>11762.02</v>
      </c>
      <c r="L37" s="136">
        <v>27113.69</v>
      </c>
      <c r="M37" s="136">
        <f t="shared" si="2"/>
        <v>80484.22</v>
      </c>
      <c r="N37" s="136">
        <f>G37*J37</f>
        <v>1525645.3666666667</v>
      </c>
      <c r="O37" s="136">
        <f>G37*K37</f>
        <v>431274.06666666665</v>
      </c>
      <c r="P37" s="136">
        <f>G37*L37</f>
        <v>994168.63333333319</v>
      </c>
      <c r="Q37" s="136">
        <f t="shared" si="4"/>
        <v>2951088.0666666664</v>
      </c>
      <c r="R37" s="136">
        <f t="shared" si="5"/>
        <v>3219368.8</v>
      </c>
      <c r="S37" s="136">
        <f t="shared" si="6"/>
        <v>3219368.8</v>
      </c>
    </row>
    <row r="38" spans="1:19">
      <c r="A38" s="151"/>
      <c r="B38" s="149" t="s">
        <v>24</v>
      </c>
      <c r="C38" s="149"/>
      <c r="D38" s="149" t="s">
        <v>20</v>
      </c>
      <c r="E38" s="150">
        <v>77</v>
      </c>
      <c r="F38" s="150">
        <v>54</v>
      </c>
      <c r="G38" s="150">
        <f t="shared" si="27"/>
        <v>69.333333333333329</v>
      </c>
      <c r="H38" s="150">
        <v>54</v>
      </c>
      <c r="I38" s="150">
        <v>54</v>
      </c>
      <c r="J38" s="136">
        <v>32991.18</v>
      </c>
      <c r="K38" s="136">
        <v>11762.02</v>
      </c>
      <c r="L38" s="136">
        <v>27113.69</v>
      </c>
      <c r="M38" s="136">
        <f t="shared" si="2"/>
        <v>71866.89</v>
      </c>
      <c r="N38" s="136">
        <f t="shared" ref="N38:N41" si="28">G38*J38</f>
        <v>2287388.48</v>
      </c>
      <c r="O38" s="136">
        <f t="shared" ref="O38:O41" si="29">G38*K38</f>
        <v>815500.05333333334</v>
      </c>
      <c r="P38" s="136">
        <f t="shared" ref="P38:P40" si="30">G38*L38</f>
        <v>1879882.5066666664</v>
      </c>
      <c r="Q38" s="136">
        <f t="shared" si="4"/>
        <v>4982771.0399999991</v>
      </c>
      <c r="R38" s="136">
        <f t="shared" si="5"/>
        <v>3880812.06</v>
      </c>
      <c r="S38" s="136">
        <f t="shared" si="6"/>
        <v>3880812.06</v>
      </c>
    </row>
    <row r="39" spans="1:19" ht="105">
      <c r="A39" s="146"/>
      <c r="B39" s="158"/>
      <c r="C39" s="146" t="s">
        <v>38</v>
      </c>
      <c r="D39" s="180" t="s">
        <v>20</v>
      </c>
      <c r="E39" s="150">
        <v>24</v>
      </c>
      <c r="F39" s="150">
        <v>24</v>
      </c>
      <c r="G39" s="150">
        <f t="shared" si="27"/>
        <v>24</v>
      </c>
      <c r="H39" s="150">
        <v>24</v>
      </c>
      <c r="I39" s="150">
        <v>24</v>
      </c>
      <c r="J39" s="136">
        <v>136848.89000000001</v>
      </c>
      <c r="K39" s="136">
        <v>11762.02</v>
      </c>
      <c r="L39" s="136">
        <v>27113.69</v>
      </c>
      <c r="M39" s="136">
        <f t="shared" si="2"/>
        <v>175724.6</v>
      </c>
      <c r="N39" s="136">
        <f t="shared" si="28"/>
        <v>3284373.3600000003</v>
      </c>
      <c r="O39" s="136">
        <f t="shared" si="29"/>
        <v>282288.48</v>
      </c>
      <c r="P39" s="136">
        <f t="shared" si="30"/>
        <v>650728.55999999994</v>
      </c>
      <c r="Q39" s="136">
        <f t="shared" si="4"/>
        <v>4217390.4000000004</v>
      </c>
      <c r="R39" s="136">
        <f t="shared" si="5"/>
        <v>4217390.4000000004</v>
      </c>
      <c r="S39" s="136">
        <f t="shared" si="6"/>
        <v>4217390.4000000004</v>
      </c>
    </row>
    <row r="40" spans="1:19" ht="120">
      <c r="A40" s="146"/>
      <c r="B40" s="149" t="s">
        <v>24</v>
      </c>
      <c r="C40" s="156" t="s">
        <v>162</v>
      </c>
      <c r="D40" s="180" t="s">
        <v>20</v>
      </c>
      <c r="E40" s="150">
        <v>81</v>
      </c>
      <c r="F40" s="150">
        <v>100</v>
      </c>
      <c r="G40" s="150">
        <f t="shared" si="27"/>
        <v>87.333333333333329</v>
      </c>
      <c r="H40" s="150">
        <v>100</v>
      </c>
      <c r="I40" s="150">
        <v>100</v>
      </c>
      <c r="J40" s="136">
        <v>48227.69</v>
      </c>
      <c r="K40" s="136" t="s">
        <v>163</v>
      </c>
      <c r="L40" s="136" t="s">
        <v>164</v>
      </c>
      <c r="M40" s="136">
        <f t="shared" si="2"/>
        <v>87103.400000000009</v>
      </c>
      <c r="N40" s="136">
        <f t="shared" si="28"/>
        <v>4211884.9266666668</v>
      </c>
      <c r="O40" s="136">
        <f t="shared" si="29"/>
        <v>1027216.4133333333</v>
      </c>
      <c r="P40" s="136">
        <f t="shared" si="30"/>
        <v>2367928.9266666663</v>
      </c>
      <c r="Q40" s="136">
        <f t="shared" si="4"/>
        <v>7607030.2666666657</v>
      </c>
      <c r="R40" s="136">
        <f t="shared" si="5"/>
        <v>8710340</v>
      </c>
      <c r="S40" s="136">
        <f t="shared" si="6"/>
        <v>8710340</v>
      </c>
    </row>
    <row r="41" spans="1:19">
      <c r="A41" s="149"/>
      <c r="B41" s="149" t="s">
        <v>28</v>
      </c>
      <c r="C41" s="149"/>
      <c r="D41" s="149" t="s">
        <v>20</v>
      </c>
      <c r="E41" s="150" t="s">
        <v>48</v>
      </c>
      <c r="F41" s="150">
        <v>218</v>
      </c>
      <c r="G41" s="150">
        <f t="shared" ref="G41" si="31">(E41*8+F41*4)/12</f>
        <v>217.33333333333334</v>
      </c>
      <c r="H41" s="150">
        <v>218</v>
      </c>
      <c r="I41" s="150">
        <v>218</v>
      </c>
      <c r="J41" s="136" t="s">
        <v>23</v>
      </c>
      <c r="K41" s="136"/>
      <c r="L41" s="136">
        <v>25992.31</v>
      </c>
      <c r="M41" s="136">
        <f t="shared" si="2"/>
        <v>25992.31</v>
      </c>
      <c r="N41" s="136">
        <f t="shared" si="28"/>
        <v>0</v>
      </c>
      <c r="O41" s="136">
        <f t="shared" si="29"/>
        <v>0</v>
      </c>
      <c r="P41" s="136">
        <f>G41*L41</f>
        <v>5648995.373333334</v>
      </c>
      <c r="Q41" s="136">
        <f t="shared" si="4"/>
        <v>5648995.373333334</v>
      </c>
      <c r="R41" s="136">
        <f t="shared" si="5"/>
        <v>5666323.5800000001</v>
      </c>
      <c r="S41" s="136">
        <f t="shared" si="6"/>
        <v>5666323.5800000001</v>
      </c>
    </row>
    <row r="42" spans="1:19">
      <c r="A42" s="181" t="s">
        <v>49</v>
      </c>
      <c r="B42" s="157"/>
      <c r="C42" s="157"/>
      <c r="D42" s="157"/>
      <c r="E42" s="155"/>
      <c r="F42" s="155"/>
      <c r="G42" s="155"/>
      <c r="H42" s="155"/>
      <c r="I42" s="155"/>
      <c r="J42" s="140"/>
      <c r="K42" s="140"/>
      <c r="L42" s="140"/>
      <c r="M42" s="140">
        <f t="shared" si="2"/>
        <v>0</v>
      </c>
      <c r="N42" s="140">
        <f>N43+N47</f>
        <v>3684441.1433333331</v>
      </c>
      <c r="O42" s="140">
        <f t="shared" ref="O42:S42" si="32">O43+O47</f>
        <v>1223250.0799999998</v>
      </c>
      <c r="P42" s="140">
        <f t="shared" si="32"/>
        <v>5523024</v>
      </c>
      <c r="Q42" s="140">
        <f t="shared" si="32"/>
        <v>10430715.223333333</v>
      </c>
      <c r="R42" s="140">
        <f t="shared" si="32"/>
        <v>10926334.550000001</v>
      </c>
      <c r="S42" s="140">
        <f t="shared" si="32"/>
        <v>10926334.550000001</v>
      </c>
    </row>
    <row r="43" spans="1:19" ht="85.5">
      <c r="A43" s="146"/>
      <c r="B43" s="147" t="s">
        <v>76</v>
      </c>
      <c r="C43" s="147"/>
      <c r="D43" s="158"/>
      <c r="E43" s="129"/>
      <c r="F43" s="129"/>
      <c r="G43" s="129"/>
      <c r="H43" s="129"/>
      <c r="I43" s="129"/>
      <c r="J43" s="136"/>
      <c r="K43" s="136"/>
      <c r="L43" s="136"/>
      <c r="M43" s="136">
        <f t="shared" si="2"/>
        <v>0</v>
      </c>
      <c r="N43" s="136">
        <f>SUM(N44:N46)</f>
        <v>3684441.1433333331</v>
      </c>
      <c r="O43" s="136">
        <f t="shared" ref="O43:S43" si="33">SUM(O44:O46)</f>
        <v>1223250.0799999998</v>
      </c>
      <c r="P43" s="136">
        <f t="shared" si="33"/>
        <v>2819823.7599999993</v>
      </c>
      <c r="Q43" s="136">
        <f t="shared" si="33"/>
        <v>7727514.9833333334</v>
      </c>
      <c r="R43" s="136">
        <f t="shared" si="33"/>
        <v>8171149.6899999995</v>
      </c>
      <c r="S43" s="136">
        <f t="shared" si="33"/>
        <v>8171149.6899999995</v>
      </c>
    </row>
    <row r="44" spans="1:19" ht="105">
      <c r="A44" s="146"/>
      <c r="B44" s="149" t="s">
        <v>19</v>
      </c>
      <c r="C44" s="146" t="s">
        <v>0</v>
      </c>
      <c r="D44" s="180" t="s">
        <v>20</v>
      </c>
      <c r="E44" s="150">
        <v>12</v>
      </c>
      <c r="F44" s="150">
        <v>20</v>
      </c>
      <c r="G44" s="150">
        <f t="shared" ref="G44:G47" si="34">(E44*8+F44*4)/12</f>
        <v>14.666666666666666</v>
      </c>
      <c r="H44" s="150">
        <v>20</v>
      </c>
      <c r="I44" s="150">
        <v>20</v>
      </c>
      <c r="J44" s="136">
        <v>41608.51</v>
      </c>
      <c r="K44" s="136">
        <v>11762.02</v>
      </c>
      <c r="L44" s="136">
        <v>27113.69</v>
      </c>
      <c r="M44" s="136">
        <f t="shared" si="2"/>
        <v>80484.22</v>
      </c>
      <c r="N44" s="136">
        <f>G44*J44</f>
        <v>610258.14666666673</v>
      </c>
      <c r="O44" s="136">
        <f>G44*K44</f>
        <v>172509.62666666668</v>
      </c>
      <c r="P44" s="136">
        <f>G44*L44</f>
        <v>397667.45333333331</v>
      </c>
      <c r="Q44" s="136">
        <f t="shared" si="4"/>
        <v>1180435.2266666668</v>
      </c>
      <c r="R44" s="136">
        <f t="shared" si="5"/>
        <v>1609684.4</v>
      </c>
      <c r="S44" s="136">
        <f t="shared" si="6"/>
        <v>1609684.4</v>
      </c>
    </row>
    <row r="45" spans="1:19">
      <c r="A45" s="151"/>
      <c r="B45" s="149" t="s">
        <v>24</v>
      </c>
      <c r="C45" s="149"/>
      <c r="D45" s="149" t="s">
        <v>20</v>
      </c>
      <c r="E45" s="150">
        <v>91</v>
      </c>
      <c r="F45" s="150">
        <v>61</v>
      </c>
      <c r="G45" s="150">
        <f t="shared" si="34"/>
        <v>81</v>
      </c>
      <c r="H45" s="150">
        <v>61</v>
      </c>
      <c r="I45" s="150">
        <v>61</v>
      </c>
      <c r="J45" s="136">
        <v>32991.18</v>
      </c>
      <c r="K45" s="136">
        <v>11762.02</v>
      </c>
      <c r="L45" s="136">
        <v>27113.69</v>
      </c>
      <c r="M45" s="136">
        <f t="shared" si="2"/>
        <v>71866.89</v>
      </c>
      <c r="N45" s="136">
        <f>G45*J45</f>
        <v>2672285.58</v>
      </c>
      <c r="O45" s="136">
        <f>G45*K45</f>
        <v>952723.62</v>
      </c>
      <c r="P45" s="136">
        <f t="shared" ref="P45:P47" si="35">G45*L45</f>
        <v>2196208.8899999997</v>
      </c>
      <c r="Q45" s="136">
        <f t="shared" si="4"/>
        <v>5821218.0899999999</v>
      </c>
      <c r="R45" s="136">
        <f t="shared" si="5"/>
        <v>4383880.29</v>
      </c>
      <c r="S45" s="136">
        <f t="shared" si="6"/>
        <v>4383880.29</v>
      </c>
    </row>
    <row r="46" spans="1:19" ht="120">
      <c r="A46" s="151"/>
      <c r="B46" s="149" t="s">
        <v>24</v>
      </c>
      <c r="C46" s="156" t="s">
        <v>162</v>
      </c>
      <c r="D46" s="180" t="s">
        <v>20</v>
      </c>
      <c r="E46" s="150"/>
      <c r="F46" s="150">
        <v>25</v>
      </c>
      <c r="G46" s="150">
        <f t="shared" si="34"/>
        <v>8.3333333333333339</v>
      </c>
      <c r="H46" s="150">
        <v>25</v>
      </c>
      <c r="I46" s="150">
        <v>25</v>
      </c>
      <c r="J46" s="136">
        <f>48227.69</f>
        <v>48227.69</v>
      </c>
      <c r="K46" s="136">
        <v>11762.02</v>
      </c>
      <c r="L46" s="136">
        <v>27113.69</v>
      </c>
      <c r="M46" s="136">
        <f t="shared" ref="M46" si="36">J46+K46+L46</f>
        <v>87103.400000000009</v>
      </c>
      <c r="N46" s="136">
        <f t="shared" ref="N46:N47" si="37">G46*J46</f>
        <v>401897.41666666669</v>
      </c>
      <c r="O46" s="136">
        <f t="shared" ref="O46:O47" si="38">G46*K46</f>
        <v>98016.833333333343</v>
      </c>
      <c r="P46" s="136">
        <f t="shared" si="35"/>
        <v>225947.41666666669</v>
      </c>
      <c r="Q46" s="136">
        <f t="shared" ref="Q46" si="39">SUM(N46:P46)</f>
        <v>725861.66666666674</v>
      </c>
      <c r="R46" s="136">
        <f t="shared" ref="R46" si="40">H46*M46</f>
        <v>2177585</v>
      </c>
      <c r="S46" s="136">
        <f t="shared" ref="S46" si="41">I46*M46</f>
        <v>2177585</v>
      </c>
    </row>
    <row r="47" spans="1:19">
      <c r="A47" s="149"/>
      <c r="B47" s="149" t="s">
        <v>28</v>
      </c>
      <c r="C47" s="149"/>
      <c r="D47" s="149" t="s">
        <v>20</v>
      </c>
      <c r="E47" s="150">
        <v>103</v>
      </c>
      <c r="F47" s="150">
        <v>106</v>
      </c>
      <c r="G47" s="150">
        <f t="shared" si="34"/>
        <v>104</v>
      </c>
      <c r="H47" s="150">
        <v>106</v>
      </c>
      <c r="I47" s="150">
        <v>106</v>
      </c>
      <c r="J47" s="136" t="s">
        <v>23</v>
      </c>
      <c r="K47" s="136"/>
      <c r="L47" s="136">
        <v>25992.31</v>
      </c>
      <c r="M47" s="136">
        <f t="shared" si="2"/>
        <v>25992.31</v>
      </c>
      <c r="N47" s="136">
        <f t="shared" si="37"/>
        <v>0</v>
      </c>
      <c r="O47" s="136">
        <f t="shared" si="38"/>
        <v>0</v>
      </c>
      <c r="P47" s="136">
        <f t="shared" si="35"/>
        <v>2703200.24</v>
      </c>
      <c r="Q47" s="136">
        <f t="shared" si="4"/>
        <v>2703200.24</v>
      </c>
      <c r="R47" s="136">
        <f t="shared" si="5"/>
        <v>2755184.8600000003</v>
      </c>
      <c r="S47" s="136">
        <f t="shared" si="6"/>
        <v>2755184.8600000003</v>
      </c>
    </row>
    <row r="48" spans="1:19">
      <c r="A48" s="181" t="s">
        <v>53</v>
      </c>
      <c r="B48" s="157"/>
      <c r="C48" s="157"/>
      <c r="D48" s="157"/>
      <c r="E48" s="155"/>
      <c r="F48" s="155"/>
      <c r="G48" s="155"/>
      <c r="H48" s="155"/>
      <c r="I48" s="155"/>
      <c r="J48" s="140"/>
      <c r="K48" s="140"/>
      <c r="L48" s="140"/>
      <c r="M48" s="140">
        <f t="shared" si="2"/>
        <v>0</v>
      </c>
      <c r="N48" s="140">
        <f>N49+N53</f>
        <v>6293189.3133333335</v>
      </c>
      <c r="O48" s="140">
        <f t="shared" ref="O48:S48" si="42">O49+O53</f>
        <v>1881923.2000000002</v>
      </c>
      <c r="P48" s="140">
        <f t="shared" si="42"/>
        <v>8496960</v>
      </c>
      <c r="Q48" s="140">
        <f t="shared" si="42"/>
        <v>16672072.513333334</v>
      </c>
      <c r="R48" s="140">
        <f t="shared" si="42"/>
        <v>16004488.9</v>
      </c>
      <c r="S48" s="140">
        <f t="shared" si="42"/>
        <v>16004488.9</v>
      </c>
    </row>
    <row r="49" spans="1:19" ht="85.5">
      <c r="A49" s="146"/>
      <c r="B49" s="147" t="s">
        <v>76</v>
      </c>
      <c r="C49" s="147"/>
      <c r="D49" s="158"/>
      <c r="E49" s="129"/>
      <c r="F49" s="129"/>
      <c r="G49" s="129"/>
      <c r="H49" s="129"/>
      <c r="I49" s="129"/>
      <c r="J49" s="136"/>
      <c r="K49" s="136"/>
      <c r="L49" s="136"/>
      <c r="M49" s="136">
        <f t="shared" si="2"/>
        <v>0</v>
      </c>
      <c r="N49" s="136">
        <f>SUM(N50:N52)</f>
        <v>6293189.3133333335</v>
      </c>
      <c r="O49" s="136">
        <f t="shared" ref="O49:S49" si="43">SUM(O50:O52)</f>
        <v>1881923.2000000002</v>
      </c>
      <c r="P49" s="136">
        <f t="shared" si="43"/>
        <v>4338190.4000000004</v>
      </c>
      <c r="Q49" s="136">
        <f t="shared" si="43"/>
        <v>12513302.913333334</v>
      </c>
      <c r="R49" s="136">
        <f t="shared" si="43"/>
        <v>12001673.16</v>
      </c>
      <c r="S49" s="136">
        <f t="shared" si="43"/>
        <v>12001673.16</v>
      </c>
    </row>
    <row r="50" spans="1:19" ht="105">
      <c r="A50" s="146"/>
      <c r="B50" s="149" t="s">
        <v>19</v>
      </c>
      <c r="C50" s="146" t="s">
        <v>0</v>
      </c>
      <c r="D50" s="180" t="s">
        <v>20</v>
      </c>
      <c r="E50" s="150">
        <v>34</v>
      </c>
      <c r="F50" s="150">
        <v>20</v>
      </c>
      <c r="G50" s="150">
        <f t="shared" ref="G50:G52" si="44">(E50*8+F50*4)/12</f>
        <v>29.333333333333332</v>
      </c>
      <c r="H50" s="150">
        <v>20</v>
      </c>
      <c r="I50" s="150">
        <v>20</v>
      </c>
      <c r="J50" s="136">
        <v>41608.51</v>
      </c>
      <c r="K50" s="136">
        <v>11762.02</v>
      </c>
      <c r="L50" s="136">
        <v>27113.69</v>
      </c>
      <c r="M50" s="136">
        <f t="shared" si="2"/>
        <v>80484.22</v>
      </c>
      <c r="N50" s="136">
        <f>G50*J50</f>
        <v>1220516.2933333335</v>
      </c>
      <c r="O50" s="136">
        <f>G50*K50</f>
        <v>345019.25333333336</v>
      </c>
      <c r="P50" s="136">
        <f>G50*L50</f>
        <v>795334.90666666662</v>
      </c>
      <c r="Q50" s="136">
        <f t="shared" si="4"/>
        <v>2360870.4533333336</v>
      </c>
      <c r="R50" s="136">
        <f t="shared" si="5"/>
        <v>1609684.4</v>
      </c>
      <c r="S50" s="136">
        <f t="shared" si="6"/>
        <v>1609684.4</v>
      </c>
    </row>
    <row r="51" spans="1:19">
      <c r="A51" s="151"/>
      <c r="B51" s="149" t="s">
        <v>24</v>
      </c>
      <c r="C51" s="149"/>
      <c r="D51" s="149" t="s">
        <v>20</v>
      </c>
      <c r="E51" s="150">
        <v>79</v>
      </c>
      <c r="F51" s="150">
        <v>84</v>
      </c>
      <c r="G51" s="150">
        <f t="shared" si="44"/>
        <v>80.666666666666671</v>
      </c>
      <c r="H51" s="150">
        <v>84</v>
      </c>
      <c r="I51" s="150">
        <v>84</v>
      </c>
      <c r="J51" s="136">
        <v>32991.18</v>
      </c>
      <c r="K51" s="136">
        <v>11762.02</v>
      </c>
      <c r="L51" s="136">
        <v>27113.69</v>
      </c>
      <c r="M51" s="136">
        <f t="shared" si="2"/>
        <v>71866.89</v>
      </c>
      <c r="N51" s="136">
        <f>G51*J51</f>
        <v>2661288.52</v>
      </c>
      <c r="O51" s="136">
        <f t="shared" ref="O51:O53" si="45">G51*K51</f>
        <v>948802.94666666677</v>
      </c>
      <c r="P51" s="136">
        <f t="shared" ref="P51:P52" si="46">G51*L51</f>
        <v>2187170.9933333332</v>
      </c>
      <c r="Q51" s="136">
        <f t="shared" si="4"/>
        <v>5797262.46</v>
      </c>
      <c r="R51" s="136">
        <f t="shared" si="5"/>
        <v>6036818.7599999998</v>
      </c>
      <c r="S51" s="136">
        <f t="shared" si="6"/>
        <v>6036818.7599999998</v>
      </c>
    </row>
    <row r="52" spans="1:19" ht="120">
      <c r="A52" s="151"/>
      <c r="B52" s="149" t="s">
        <v>24</v>
      </c>
      <c r="C52" s="156" t="s">
        <v>162</v>
      </c>
      <c r="D52" s="180" t="s">
        <v>20</v>
      </c>
      <c r="E52" s="150">
        <v>50</v>
      </c>
      <c r="F52" s="150">
        <v>50</v>
      </c>
      <c r="G52" s="150">
        <f t="shared" si="44"/>
        <v>50</v>
      </c>
      <c r="H52" s="150">
        <v>50</v>
      </c>
      <c r="I52" s="150">
        <v>50</v>
      </c>
      <c r="J52" s="136">
        <v>48227.69</v>
      </c>
      <c r="K52" s="136" t="s">
        <v>163</v>
      </c>
      <c r="L52" s="136" t="s">
        <v>164</v>
      </c>
      <c r="M52" s="136">
        <f t="shared" si="2"/>
        <v>87103.400000000009</v>
      </c>
      <c r="N52" s="136">
        <f>G52*J52</f>
        <v>2411384.5</v>
      </c>
      <c r="O52" s="136">
        <f t="shared" si="45"/>
        <v>588101</v>
      </c>
      <c r="P52" s="136">
        <f t="shared" si="46"/>
        <v>1355684.5</v>
      </c>
      <c r="Q52" s="136">
        <f t="shared" si="4"/>
        <v>4355170</v>
      </c>
      <c r="R52" s="136">
        <f t="shared" si="5"/>
        <v>4355170</v>
      </c>
      <c r="S52" s="136">
        <f t="shared" si="6"/>
        <v>4355170</v>
      </c>
    </row>
    <row r="53" spans="1:19">
      <c r="A53" s="149"/>
      <c r="B53" s="149" t="s">
        <v>28</v>
      </c>
      <c r="C53" s="149"/>
      <c r="D53" s="149" t="s">
        <v>20</v>
      </c>
      <c r="E53" s="150">
        <v>163</v>
      </c>
      <c r="F53" s="150">
        <v>154</v>
      </c>
      <c r="G53" s="150">
        <f t="shared" ref="G53" si="47">(E53*8+F53*4)/12</f>
        <v>160</v>
      </c>
      <c r="H53" s="150">
        <v>154</v>
      </c>
      <c r="I53" s="150">
        <v>154</v>
      </c>
      <c r="J53" s="136" t="s">
        <v>23</v>
      </c>
      <c r="K53" s="136"/>
      <c r="L53" s="136">
        <v>25992.31</v>
      </c>
      <c r="M53" s="136">
        <f t="shared" si="2"/>
        <v>25992.31</v>
      </c>
      <c r="N53" s="136">
        <f t="shared" si="18"/>
        <v>0</v>
      </c>
      <c r="O53" s="136">
        <f t="shared" si="45"/>
        <v>0</v>
      </c>
      <c r="P53" s="136">
        <f>G53*L53</f>
        <v>4158769.6</v>
      </c>
      <c r="Q53" s="136">
        <f t="shared" si="4"/>
        <v>4158769.6</v>
      </c>
      <c r="R53" s="136">
        <f t="shared" si="5"/>
        <v>4002815.74</v>
      </c>
      <c r="S53" s="136">
        <f t="shared" si="6"/>
        <v>4002815.74</v>
      </c>
    </row>
    <row r="54" spans="1:19">
      <c r="A54" s="181" t="s">
        <v>57</v>
      </c>
      <c r="B54" s="157"/>
      <c r="C54" s="157"/>
      <c r="D54" s="157"/>
      <c r="E54" s="155"/>
      <c r="F54" s="155"/>
      <c r="G54" s="155"/>
      <c r="H54" s="155"/>
      <c r="I54" s="155"/>
      <c r="J54" s="140"/>
      <c r="K54" s="140"/>
      <c r="L54" s="140"/>
      <c r="M54" s="140">
        <f t="shared" si="2"/>
        <v>0</v>
      </c>
      <c r="N54" s="140">
        <f>N55+N60</f>
        <v>4262078.6066666665</v>
      </c>
      <c r="O54" s="140">
        <f t="shared" ref="O54:S54" si="48">O55+O60</f>
        <v>1329108.26</v>
      </c>
      <c r="P54" s="140">
        <f t="shared" si="48"/>
        <v>6000977.0366666671</v>
      </c>
      <c r="Q54" s="140">
        <f t="shared" si="48"/>
        <v>11592163.903333332</v>
      </c>
      <c r="R54" s="140">
        <f t="shared" si="48"/>
        <v>12335980.49</v>
      </c>
      <c r="S54" s="140">
        <f t="shared" si="48"/>
        <v>12335980.49</v>
      </c>
    </row>
    <row r="55" spans="1:19" ht="85.5">
      <c r="A55" s="146"/>
      <c r="B55" s="147" t="s">
        <v>76</v>
      </c>
      <c r="C55" s="147"/>
      <c r="D55" s="158"/>
      <c r="E55" s="129"/>
      <c r="F55" s="129"/>
      <c r="G55" s="129"/>
      <c r="H55" s="129"/>
      <c r="I55" s="129"/>
      <c r="J55" s="136"/>
      <c r="K55" s="136"/>
      <c r="L55" s="136"/>
      <c r="M55" s="136">
        <f t="shared" si="2"/>
        <v>0</v>
      </c>
      <c r="N55" s="136">
        <f>SUM(N56:N59)</f>
        <v>4262078.6066666665</v>
      </c>
      <c r="O55" s="136">
        <f t="shared" ref="O55:S55" si="49">SUM(O56:O59)</f>
        <v>1329108.26</v>
      </c>
      <c r="P55" s="136">
        <f t="shared" si="49"/>
        <v>3063846.0066666668</v>
      </c>
      <c r="Q55" s="136">
        <f t="shared" si="49"/>
        <v>8655032.8733333331</v>
      </c>
      <c r="R55" s="136">
        <f t="shared" si="49"/>
        <v>9346864.8399999999</v>
      </c>
      <c r="S55" s="136">
        <f t="shared" si="49"/>
        <v>9346864.8399999999</v>
      </c>
    </row>
    <row r="56" spans="1:19" ht="105">
      <c r="A56" s="146"/>
      <c r="B56" s="149" t="s">
        <v>19</v>
      </c>
      <c r="C56" s="146" t="s">
        <v>0</v>
      </c>
      <c r="D56" s="180" t="s">
        <v>20</v>
      </c>
      <c r="E56" s="150">
        <v>13</v>
      </c>
      <c r="F56" s="150">
        <v>20</v>
      </c>
      <c r="G56" s="150">
        <f t="shared" ref="G56:G60" si="50">(E56*8+F56*4)/12</f>
        <v>15.333333333333334</v>
      </c>
      <c r="H56" s="150">
        <v>20</v>
      </c>
      <c r="I56" s="150">
        <v>20</v>
      </c>
      <c r="J56" s="136">
        <v>41608.51</v>
      </c>
      <c r="K56" s="136">
        <v>11762.02</v>
      </c>
      <c r="L56" s="136" t="s">
        <v>82</v>
      </c>
      <c r="M56" s="136">
        <f t="shared" si="2"/>
        <v>80484.209999999992</v>
      </c>
      <c r="N56" s="136">
        <f>G56*J56</f>
        <v>637997.15333333344</v>
      </c>
      <c r="O56" s="136">
        <f>G56*K56</f>
        <v>180350.97333333336</v>
      </c>
      <c r="P56" s="136">
        <f>G56*L56</f>
        <v>415743.09333333338</v>
      </c>
      <c r="Q56" s="136">
        <f t="shared" si="4"/>
        <v>1234091.2200000002</v>
      </c>
      <c r="R56" s="136">
        <f t="shared" si="5"/>
        <v>1609684.1999999997</v>
      </c>
      <c r="S56" s="136">
        <f t="shared" si="6"/>
        <v>1609684.1999999997</v>
      </c>
    </row>
    <row r="57" spans="1:19">
      <c r="A57" s="151"/>
      <c r="B57" s="149" t="s">
        <v>24</v>
      </c>
      <c r="C57" s="149"/>
      <c r="D57" s="149" t="s">
        <v>20</v>
      </c>
      <c r="E57" s="150">
        <v>99</v>
      </c>
      <c r="F57" s="150">
        <v>45</v>
      </c>
      <c r="G57" s="150">
        <f t="shared" si="50"/>
        <v>81</v>
      </c>
      <c r="H57" s="150">
        <v>45</v>
      </c>
      <c r="I57" s="150">
        <v>45</v>
      </c>
      <c r="J57" s="136">
        <v>32991.18</v>
      </c>
      <c r="K57" s="136">
        <v>11762.02</v>
      </c>
      <c r="L57" s="136" t="s">
        <v>82</v>
      </c>
      <c r="M57" s="136">
        <f t="shared" si="2"/>
        <v>71866.880000000005</v>
      </c>
      <c r="N57" s="136">
        <f>G57*J57</f>
        <v>2672285.58</v>
      </c>
      <c r="O57" s="136">
        <f t="shared" ref="O57:O60" si="51">G57*K57</f>
        <v>952723.62</v>
      </c>
      <c r="P57" s="136">
        <f t="shared" ref="P57:P59" si="52">G57*L57</f>
        <v>2196208.08</v>
      </c>
      <c r="Q57" s="136">
        <f t="shared" si="4"/>
        <v>5821217.2800000003</v>
      </c>
      <c r="R57" s="136">
        <f t="shared" si="5"/>
        <v>3234009.6</v>
      </c>
      <c r="S57" s="136">
        <f t="shared" si="6"/>
        <v>3234009.6</v>
      </c>
    </row>
    <row r="58" spans="1:19" ht="75">
      <c r="A58" s="146"/>
      <c r="B58" s="158"/>
      <c r="C58" s="146" t="s">
        <v>78</v>
      </c>
      <c r="D58" s="180" t="s">
        <v>20</v>
      </c>
      <c r="E58" s="150">
        <v>99</v>
      </c>
      <c r="F58" s="150">
        <v>99</v>
      </c>
      <c r="G58" s="150">
        <f t="shared" si="50"/>
        <v>99</v>
      </c>
      <c r="H58" s="150">
        <v>99</v>
      </c>
      <c r="I58" s="150">
        <v>99</v>
      </c>
      <c r="J58" s="136">
        <v>1494.96</v>
      </c>
      <c r="K58" s="136"/>
      <c r="L58" s="136"/>
      <c r="M58" s="136">
        <f t="shared" si="2"/>
        <v>1494.96</v>
      </c>
      <c r="N58" s="136">
        <f t="shared" ref="N58:N60" si="53">G58*J58</f>
        <v>148001.04</v>
      </c>
      <c r="O58" s="136">
        <f t="shared" si="51"/>
        <v>0</v>
      </c>
      <c r="P58" s="136">
        <f t="shared" si="52"/>
        <v>0</v>
      </c>
      <c r="Q58" s="136">
        <f t="shared" si="4"/>
        <v>148001.04</v>
      </c>
      <c r="R58" s="136">
        <f t="shared" si="5"/>
        <v>148001.04</v>
      </c>
      <c r="S58" s="136">
        <f t="shared" si="6"/>
        <v>148001.04</v>
      </c>
    </row>
    <row r="59" spans="1:19" ht="120">
      <c r="A59" s="146"/>
      <c r="B59" s="149" t="s">
        <v>24</v>
      </c>
      <c r="C59" s="156" t="s">
        <v>162</v>
      </c>
      <c r="D59" s="180" t="s">
        <v>20</v>
      </c>
      <c r="E59" s="150"/>
      <c r="F59" s="150">
        <v>50</v>
      </c>
      <c r="G59" s="150">
        <f t="shared" si="50"/>
        <v>16.666666666666668</v>
      </c>
      <c r="H59" s="150">
        <v>50</v>
      </c>
      <c r="I59" s="150">
        <v>50</v>
      </c>
      <c r="J59" s="136">
        <v>48227.69</v>
      </c>
      <c r="K59" s="136" t="s">
        <v>163</v>
      </c>
      <c r="L59" s="136" t="s">
        <v>164</v>
      </c>
      <c r="M59" s="136">
        <f t="shared" ref="M59" si="54">J59+K59+L59</f>
        <v>87103.400000000009</v>
      </c>
      <c r="N59" s="136">
        <f t="shared" si="53"/>
        <v>803794.83333333337</v>
      </c>
      <c r="O59" s="136">
        <f t="shared" si="51"/>
        <v>196033.66666666669</v>
      </c>
      <c r="P59" s="136">
        <f t="shared" si="52"/>
        <v>451894.83333333337</v>
      </c>
      <c r="Q59" s="136">
        <f t="shared" si="4"/>
        <v>1451723.3333333335</v>
      </c>
      <c r="R59" s="136">
        <f t="shared" ref="R59" si="55">H59*M59</f>
        <v>4355170</v>
      </c>
      <c r="S59" s="136">
        <f t="shared" ref="S59" si="56">I59*M59</f>
        <v>4355170</v>
      </c>
    </row>
    <row r="60" spans="1:19">
      <c r="A60" s="149"/>
      <c r="B60" s="149" t="s">
        <v>28</v>
      </c>
      <c r="C60" s="149"/>
      <c r="D60" s="149" t="s">
        <v>20</v>
      </c>
      <c r="E60" s="150">
        <v>112</v>
      </c>
      <c r="F60" s="150">
        <v>115</v>
      </c>
      <c r="G60" s="150">
        <f t="shared" si="50"/>
        <v>113</v>
      </c>
      <c r="H60" s="150">
        <v>115</v>
      </c>
      <c r="I60" s="150">
        <v>115</v>
      </c>
      <c r="J60" s="136" t="s">
        <v>23</v>
      </c>
      <c r="K60" s="136"/>
      <c r="L60" s="136">
        <v>25992.31</v>
      </c>
      <c r="M60" s="136">
        <f t="shared" si="2"/>
        <v>25992.31</v>
      </c>
      <c r="N60" s="136">
        <f t="shared" si="53"/>
        <v>0</v>
      </c>
      <c r="O60" s="136">
        <f t="shared" si="51"/>
        <v>0</v>
      </c>
      <c r="P60" s="136">
        <f>G60*L60</f>
        <v>2937131.0300000003</v>
      </c>
      <c r="Q60" s="136">
        <f t="shared" si="4"/>
        <v>2937131.0300000003</v>
      </c>
      <c r="R60" s="136">
        <f t="shared" si="5"/>
        <v>2989115.6500000004</v>
      </c>
      <c r="S60" s="136">
        <f t="shared" si="6"/>
        <v>2989115.6500000004</v>
      </c>
    </row>
    <row r="61" spans="1:19">
      <c r="A61" s="181" t="s">
        <v>61</v>
      </c>
      <c r="B61" s="157"/>
      <c r="C61" s="157"/>
      <c r="D61" s="157"/>
      <c r="E61" s="155"/>
      <c r="F61" s="155"/>
      <c r="G61" s="155"/>
      <c r="H61" s="155"/>
      <c r="I61" s="155"/>
      <c r="J61" s="140"/>
      <c r="K61" s="140"/>
      <c r="L61" s="140"/>
      <c r="M61" s="140">
        <f t="shared" si="2"/>
        <v>0</v>
      </c>
      <c r="N61" s="140">
        <f>N62+N67</f>
        <v>9238984.6600000001</v>
      </c>
      <c r="O61" s="140">
        <f t="shared" ref="O61:S61" si="57">O62+O67</f>
        <v>2720947.2933333335</v>
      </c>
      <c r="P61" s="140">
        <f t="shared" si="57"/>
        <v>12285188</v>
      </c>
      <c r="Q61" s="140">
        <f t="shared" si="57"/>
        <v>24245119.953333337</v>
      </c>
      <c r="R61" s="140">
        <f t="shared" si="57"/>
        <v>24860205.880000003</v>
      </c>
      <c r="S61" s="140">
        <f t="shared" si="57"/>
        <v>24860205.880000003</v>
      </c>
    </row>
    <row r="62" spans="1:19" ht="85.5">
      <c r="A62" s="146"/>
      <c r="B62" s="147" t="s">
        <v>76</v>
      </c>
      <c r="C62" s="147"/>
      <c r="D62" s="158"/>
      <c r="E62" s="129"/>
      <c r="F62" s="129"/>
      <c r="G62" s="129"/>
      <c r="H62" s="129"/>
      <c r="I62" s="129"/>
      <c r="J62" s="136"/>
      <c r="K62" s="136"/>
      <c r="L62" s="136"/>
      <c r="M62" s="136">
        <f t="shared" si="2"/>
        <v>0</v>
      </c>
      <c r="N62" s="136">
        <f>SUM(N63:N66)</f>
        <v>9238984.6600000001</v>
      </c>
      <c r="O62" s="136">
        <f t="shared" ref="O62:S62" si="58">SUM(O63:O66)</f>
        <v>2720947.2933333335</v>
      </c>
      <c r="P62" s="136">
        <f t="shared" si="58"/>
        <v>6272300.2866666662</v>
      </c>
      <c r="Q62" s="136">
        <f t="shared" si="58"/>
        <v>18232232.240000002</v>
      </c>
      <c r="R62" s="136">
        <f t="shared" si="58"/>
        <v>18829989.960000001</v>
      </c>
      <c r="S62" s="136">
        <f t="shared" si="58"/>
        <v>18829989.960000001</v>
      </c>
    </row>
    <row r="63" spans="1:19" ht="105">
      <c r="A63" s="146"/>
      <c r="B63" s="149" t="s">
        <v>19</v>
      </c>
      <c r="C63" s="146" t="s">
        <v>0</v>
      </c>
      <c r="D63" s="180" t="s">
        <v>20</v>
      </c>
      <c r="E63" s="150">
        <v>38</v>
      </c>
      <c r="F63" s="150">
        <v>40</v>
      </c>
      <c r="G63" s="150">
        <f t="shared" ref="G63:G66" si="59">(E63*8+F63*4)/12</f>
        <v>38.666666666666664</v>
      </c>
      <c r="H63" s="150">
        <v>40</v>
      </c>
      <c r="I63" s="150">
        <v>40</v>
      </c>
      <c r="J63" s="136">
        <v>41608.51</v>
      </c>
      <c r="K63" s="136">
        <v>11762.02</v>
      </c>
      <c r="L63" s="136">
        <v>27113.69</v>
      </c>
      <c r="M63" s="136">
        <f t="shared" si="2"/>
        <v>80484.22</v>
      </c>
      <c r="N63" s="136">
        <f>G63*J63</f>
        <v>1608862.3866666667</v>
      </c>
      <c r="O63" s="136">
        <f>G63*K63</f>
        <v>454798.10666666663</v>
      </c>
      <c r="P63" s="136">
        <f>G63*L63</f>
        <v>1048396.0133333332</v>
      </c>
      <c r="Q63" s="136">
        <f t="shared" si="4"/>
        <v>3112056.5066666668</v>
      </c>
      <c r="R63" s="136">
        <f t="shared" si="5"/>
        <v>3219368.8</v>
      </c>
      <c r="S63" s="136">
        <f t="shared" si="6"/>
        <v>3219368.8</v>
      </c>
    </row>
    <row r="64" spans="1:19">
      <c r="A64" s="151"/>
      <c r="B64" s="149" t="s">
        <v>24</v>
      </c>
      <c r="C64" s="149"/>
      <c r="D64" s="149" t="s">
        <v>20</v>
      </c>
      <c r="E64" s="150">
        <v>146</v>
      </c>
      <c r="F64" s="150">
        <v>92</v>
      </c>
      <c r="G64" s="150">
        <f t="shared" si="59"/>
        <v>128</v>
      </c>
      <c r="H64" s="150">
        <v>92</v>
      </c>
      <c r="I64" s="150">
        <v>92</v>
      </c>
      <c r="J64" s="136">
        <v>32991.18</v>
      </c>
      <c r="K64" s="136">
        <v>11762.02</v>
      </c>
      <c r="L64" s="136">
        <v>27113.69</v>
      </c>
      <c r="M64" s="136">
        <f t="shared" si="2"/>
        <v>71866.89</v>
      </c>
      <c r="N64" s="136">
        <f t="shared" ref="N64:N67" si="60">G64*J64</f>
        <v>4222871.04</v>
      </c>
      <c r="O64" s="136">
        <f t="shared" ref="O64:O67" si="61">G64*K64</f>
        <v>1505538.56</v>
      </c>
      <c r="P64" s="136">
        <f t="shared" ref="P64:P66" si="62">G64*L64</f>
        <v>3470552.32</v>
      </c>
      <c r="Q64" s="136">
        <f t="shared" si="4"/>
        <v>9198961.9199999999</v>
      </c>
      <c r="R64" s="136">
        <f t="shared" si="5"/>
        <v>6611753.8799999999</v>
      </c>
      <c r="S64" s="136">
        <f t="shared" si="6"/>
        <v>6611753.8799999999</v>
      </c>
    </row>
    <row r="65" spans="1:19" ht="120">
      <c r="A65" s="151"/>
      <c r="B65" s="149" t="s">
        <v>24</v>
      </c>
      <c r="C65" s="177" t="s">
        <v>162</v>
      </c>
      <c r="D65" s="180" t="s">
        <v>20</v>
      </c>
      <c r="E65" s="150">
        <v>47</v>
      </c>
      <c r="F65" s="150">
        <v>100</v>
      </c>
      <c r="G65" s="150">
        <f t="shared" si="59"/>
        <v>64.666666666666671</v>
      </c>
      <c r="H65" s="150">
        <v>100</v>
      </c>
      <c r="I65" s="150">
        <v>100</v>
      </c>
      <c r="J65" s="136">
        <v>48227.69</v>
      </c>
      <c r="K65" s="136" t="s">
        <v>163</v>
      </c>
      <c r="L65" s="136" t="s">
        <v>164</v>
      </c>
      <c r="M65" s="136">
        <f t="shared" si="2"/>
        <v>87103.400000000009</v>
      </c>
      <c r="N65" s="136">
        <f t="shared" si="60"/>
        <v>3118723.9533333336</v>
      </c>
      <c r="O65" s="136">
        <f t="shared" si="61"/>
        <v>760610.62666666671</v>
      </c>
      <c r="P65" s="136">
        <f t="shared" si="62"/>
        <v>1753351.9533333334</v>
      </c>
      <c r="Q65" s="136">
        <f t="shared" si="4"/>
        <v>5632686.5333333332</v>
      </c>
      <c r="R65" s="136">
        <f t="shared" si="5"/>
        <v>8710340</v>
      </c>
      <c r="S65" s="136">
        <f t="shared" si="6"/>
        <v>8710340</v>
      </c>
    </row>
    <row r="66" spans="1:19" ht="75">
      <c r="A66" s="146"/>
      <c r="B66" s="158"/>
      <c r="C66" s="146" t="s">
        <v>78</v>
      </c>
      <c r="D66" s="180" t="s">
        <v>20</v>
      </c>
      <c r="E66" s="150">
        <v>193</v>
      </c>
      <c r="F66" s="150">
        <v>193</v>
      </c>
      <c r="G66" s="150">
        <f t="shared" si="59"/>
        <v>193</v>
      </c>
      <c r="H66" s="150">
        <v>193</v>
      </c>
      <c r="I66" s="150">
        <v>193</v>
      </c>
      <c r="J66" s="136">
        <v>1494.96</v>
      </c>
      <c r="K66" s="136"/>
      <c r="L66" s="136"/>
      <c r="M66" s="136">
        <f t="shared" si="2"/>
        <v>1494.96</v>
      </c>
      <c r="N66" s="136">
        <f t="shared" si="60"/>
        <v>288527.28000000003</v>
      </c>
      <c r="O66" s="136">
        <f t="shared" si="61"/>
        <v>0</v>
      </c>
      <c r="P66" s="136">
        <f t="shared" si="62"/>
        <v>0</v>
      </c>
      <c r="Q66" s="136">
        <f t="shared" si="4"/>
        <v>288527.28000000003</v>
      </c>
      <c r="R66" s="136">
        <f t="shared" si="5"/>
        <v>288527.28000000003</v>
      </c>
      <c r="S66" s="136">
        <f t="shared" si="6"/>
        <v>288527.28000000003</v>
      </c>
    </row>
    <row r="67" spans="1:19">
      <c r="A67" s="149"/>
      <c r="B67" s="149" t="s">
        <v>28</v>
      </c>
      <c r="C67" s="149"/>
      <c r="D67" s="149" t="s">
        <v>20</v>
      </c>
      <c r="E67" s="150">
        <v>231</v>
      </c>
      <c r="F67" s="150">
        <v>232</v>
      </c>
      <c r="G67" s="150">
        <f t="shared" ref="G67" si="63">(E67*8+F67*4)/12</f>
        <v>231.33333333333334</v>
      </c>
      <c r="H67" s="150">
        <v>232</v>
      </c>
      <c r="I67" s="150">
        <v>232</v>
      </c>
      <c r="J67" s="136" t="s">
        <v>23</v>
      </c>
      <c r="K67" s="136"/>
      <c r="L67" s="136">
        <v>25992.31</v>
      </c>
      <c r="M67" s="136">
        <f t="shared" si="2"/>
        <v>25992.31</v>
      </c>
      <c r="N67" s="136">
        <f t="shared" si="60"/>
        <v>0</v>
      </c>
      <c r="O67" s="136">
        <f t="shared" si="61"/>
        <v>0</v>
      </c>
      <c r="P67" s="136">
        <f>G67*L67</f>
        <v>6012887.7133333338</v>
      </c>
      <c r="Q67" s="136">
        <f t="shared" si="4"/>
        <v>6012887.7133333338</v>
      </c>
      <c r="R67" s="136">
        <f t="shared" si="5"/>
        <v>6030215.9199999999</v>
      </c>
      <c r="S67" s="136">
        <f t="shared" si="6"/>
        <v>6030215.9199999999</v>
      </c>
    </row>
    <row r="68" spans="1:19">
      <c r="A68" s="181" t="s">
        <v>65</v>
      </c>
      <c r="B68" s="157"/>
      <c r="C68" s="157"/>
      <c r="D68" s="157"/>
      <c r="E68" s="155"/>
      <c r="F68" s="155"/>
      <c r="G68" s="155"/>
      <c r="H68" s="155"/>
      <c r="I68" s="155"/>
      <c r="J68" s="140"/>
      <c r="K68" s="140"/>
      <c r="L68" s="140"/>
      <c r="M68" s="140">
        <f t="shared" si="2"/>
        <v>0</v>
      </c>
      <c r="N68" s="140">
        <f>N69+N73</f>
        <v>4884598.8233333332</v>
      </c>
      <c r="O68" s="140">
        <f t="shared" ref="O68:S68" si="64">O69+O73</f>
        <v>1638841.4533333334</v>
      </c>
      <c r="P68" s="140">
        <f t="shared" si="64"/>
        <v>7399436</v>
      </c>
      <c r="Q68" s="140">
        <f t="shared" si="64"/>
        <v>13922876.276666665</v>
      </c>
      <c r="R68" s="140">
        <f t="shared" si="64"/>
        <v>14253547.35</v>
      </c>
      <c r="S68" s="140">
        <f t="shared" si="64"/>
        <v>14253547.35</v>
      </c>
    </row>
    <row r="69" spans="1:19" ht="85.5">
      <c r="A69" s="146"/>
      <c r="B69" s="147" t="s">
        <v>76</v>
      </c>
      <c r="C69" s="147"/>
      <c r="D69" s="158"/>
      <c r="E69" s="129"/>
      <c r="F69" s="129"/>
      <c r="G69" s="129"/>
      <c r="H69" s="129"/>
      <c r="I69" s="129"/>
      <c r="J69" s="136"/>
      <c r="K69" s="136"/>
      <c r="L69" s="136"/>
      <c r="M69" s="136">
        <f t="shared" si="2"/>
        <v>0</v>
      </c>
      <c r="N69" s="136">
        <f>SUM(N70:N72)</f>
        <v>4884598.8233333332</v>
      </c>
      <c r="O69" s="136">
        <f t="shared" ref="O69:S69" si="65">SUM(O70:O72)</f>
        <v>1638841.4533333334</v>
      </c>
      <c r="P69" s="136">
        <f t="shared" si="65"/>
        <v>3777840.8066666662</v>
      </c>
      <c r="Q69" s="136">
        <f t="shared" si="65"/>
        <v>10301281.083333332</v>
      </c>
      <c r="R69" s="136">
        <f t="shared" si="65"/>
        <v>10614623.949999999</v>
      </c>
      <c r="S69" s="136">
        <f t="shared" si="65"/>
        <v>10614623.949999999</v>
      </c>
    </row>
    <row r="70" spans="1:19" ht="105">
      <c r="A70" s="146"/>
      <c r="B70" s="149" t="s">
        <v>19</v>
      </c>
      <c r="C70" s="146" t="s">
        <v>0</v>
      </c>
      <c r="D70" s="149" t="s">
        <v>20</v>
      </c>
      <c r="E70" s="150">
        <v>18</v>
      </c>
      <c r="F70" s="150">
        <v>20</v>
      </c>
      <c r="G70" s="150">
        <f t="shared" ref="G70:G73" si="66">(E70*8+F70*4)/12</f>
        <v>18.666666666666668</v>
      </c>
      <c r="H70" s="150">
        <v>20</v>
      </c>
      <c r="I70" s="150">
        <v>20</v>
      </c>
      <c r="J70" s="136">
        <v>41608.51</v>
      </c>
      <c r="K70" s="136">
        <v>11762.02</v>
      </c>
      <c r="L70" s="136">
        <v>27113.69</v>
      </c>
      <c r="M70" s="136">
        <f t="shared" si="2"/>
        <v>80484.22</v>
      </c>
      <c r="N70" s="136">
        <f>G70*J70</f>
        <v>776692.18666666676</v>
      </c>
      <c r="O70" s="136">
        <f>G70*K70</f>
        <v>219557.70666666669</v>
      </c>
      <c r="P70" s="136">
        <f>G70*L70</f>
        <v>506122.21333333332</v>
      </c>
      <c r="Q70" s="136">
        <f t="shared" si="4"/>
        <v>1502372.1066666667</v>
      </c>
      <c r="R70" s="136">
        <f t="shared" si="5"/>
        <v>1609684.4</v>
      </c>
      <c r="S70" s="136">
        <f t="shared" si="6"/>
        <v>1609684.4</v>
      </c>
    </row>
    <row r="71" spans="1:19">
      <c r="A71" s="151"/>
      <c r="B71" s="149" t="s">
        <v>24</v>
      </c>
      <c r="C71" s="149"/>
      <c r="D71" s="149" t="s">
        <v>20</v>
      </c>
      <c r="E71" s="150">
        <v>121</v>
      </c>
      <c r="F71" s="150">
        <v>95</v>
      </c>
      <c r="G71" s="150">
        <f t="shared" si="66"/>
        <v>112.33333333333333</v>
      </c>
      <c r="H71" s="150">
        <v>95</v>
      </c>
      <c r="I71" s="150">
        <v>95</v>
      </c>
      <c r="J71" s="136">
        <v>32991.18</v>
      </c>
      <c r="K71" s="136">
        <v>11762.02</v>
      </c>
      <c r="L71" s="136">
        <v>27113.69</v>
      </c>
      <c r="M71" s="136">
        <f t="shared" si="2"/>
        <v>71866.89</v>
      </c>
      <c r="N71" s="136">
        <f t="shared" ref="N71:N73" si="67">G71*J71</f>
        <v>3706009.2199999997</v>
      </c>
      <c r="O71" s="136">
        <f t="shared" ref="O71:O73" si="68">G71*K71</f>
        <v>1321266.9133333333</v>
      </c>
      <c r="P71" s="136">
        <f t="shared" ref="P71:P72" si="69">G71*L71</f>
        <v>3045771.1766666663</v>
      </c>
      <c r="Q71" s="136">
        <f t="shared" si="4"/>
        <v>8073047.3099999987</v>
      </c>
      <c r="R71" s="136">
        <f t="shared" si="5"/>
        <v>6827354.5499999998</v>
      </c>
      <c r="S71" s="136">
        <f t="shared" si="6"/>
        <v>6827354.5499999998</v>
      </c>
    </row>
    <row r="72" spans="1:19" ht="120">
      <c r="A72" s="151"/>
      <c r="B72" s="149" t="s">
        <v>24</v>
      </c>
      <c r="C72" s="177" t="s">
        <v>162</v>
      </c>
      <c r="D72" s="180" t="s">
        <v>20</v>
      </c>
      <c r="E72" s="150"/>
      <c r="F72" s="150">
        <v>25</v>
      </c>
      <c r="G72" s="150">
        <f t="shared" si="66"/>
        <v>8.3333333333333339</v>
      </c>
      <c r="H72" s="150">
        <v>25</v>
      </c>
      <c r="I72" s="150">
        <v>25</v>
      </c>
      <c r="J72" s="136">
        <v>48227.69</v>
      </c>
      <c r="K72" s="136" t="s">
        <v>163</v>
      </c>
      <c r="L72" s="136" t="s">
        <v>164</v>
      </c>
      <c r="M72" s="136">
        <f t="shared" ref="M72" si="70">J72+K72+L72</f>
        <v>87103.400000000009</v>
      </c>
      <c r="N72" s="136">
        <f t="shared" si="67"/>
        <v>401897.41666666669</v>
      </c>
      <c r="O72" s="136">
        <f t="shared" si="68"/>
        <v>98016.833333333343</v>
      </c>
      <c r="P72" s="136">
        <f t="shared" si="69"/>
        <v>225947.41666666669</v>
      </c>
      <c r="Q72" s="136">
        <f t="shared" ref="Q72" si="71">SUM(N72:P72)</f>
        <v>725861.66666666674</v>
      </c>
      <c r="R72" s="136">
        <f t="shared" ref="R72" si="72">H72*M72</f>
        <v>2177585</v>
      </c>
      <c r="S72" s="136">
        <f t="shared" ref="S72" si="73">I72*M72</f>
        <v>2177585</v>
      </c>
    </row>
    <row r="73" spans="1:19">
      <c r="A73" s="149"/>
      <c r="B73" s="149" t="s">
        <v>28</v>
      </c>
      <c r="C73" s="149"/>
      <c r="D73" s="149" t="s">
        <v>20</v>
      </c>
      <c r="E73" s="150">
        <v>139</v>
      </c>
      <c r="F73" s="150">
        <v>140</v>
      </c>
      <c r="G73" s="150">
        <f t="shared" si="66"/>
        <v>139.33333333333334</v>
      </c>
      <c r="H73" s="150" t="s">
        <v>67</v>
      </c>
      <c r="I73" s="150" t="s">
        <v>67</v>
      </c>
      <c r="J73" s="136" t="s">
        <v>23</v>
      </c>
      <c r="K73" s="136"/>
      <c r="L73" s="136">
        <v>25992.31</v>
      </c>
      <c r="M73" s="136">
        <f t="shared" si="2"/>
        <v>25992.31</v>
      </c>
      <c r="N73" s="136">
        <f t="shared" si="67"/>
        <v>0</v>
      </c>
      <c r="O73" s="136">
        <f t="shared" si="68"/>
        <v>0</v>
      </c>
      <c r="P73" s="136">
        <f>G73*L73</f>
        <v>3621595.1933333338</v>
      </c>
      <c r="Q73" s="136">
        <f t="shared" si="4"/>
        <v>3621595.1933333338</v>
      </c>
      <c r="R73" s="136">
        <f t="shared" si="5"/>
        <v>3638923.4000000004</v>
      </c>
      <c r="S73" s="136">
        <f t="shared" si="6"/>
        <v>3638923.4000000004</v>
      </c>
    </row>
    <row r="74" spans="1:19">
      <c r="A74" s="181" t="s">
        <v>68</v>
      </c>
      <c r="B74" s="157"/>
      <c r="C74" s="157"/>
      <c r="D74" s="157"/>
      <c r="E74" s="155"/>
      <c r="F74" s="155"/>
      <c r="G74" s="155"/>
      <c r="H74" s="155"/>
      <c r="I74" s="155"/>
      <c r="J74" s="140"/>
      <c r="K74" s="140"/>
      <c r="L74" s="140"/>
      <c r="M74" s="140">
        <f t="shared" si="2"/>
        <v>0</v>
      </c>
      <c r="N74" s="140">
        <f>N75+N79</f>
        <v>5155136.5633333344</v>
      </c>
      <c r="O74" s="140">
        <f t="shared" ref="O74:S74" si="74">O75+O79</f>
        <v>1654524.1466666667</v>
      </c>
      <c r="P74" s="140">
        <f t="shared" si="74"/>
        <v>7470244</v>
      </c>
      <c r="Q74" s="140">
        <f t="shared" si="74"/>
        <v>14279904.710000001</v>
      </c>
      <c r="R74" s="140">
        <f t="shared" si="74"/>
        <v>14253547.35</v>
      </c>
      <c r="S74" s="140">
        <f t="shared" si="74"/>
        <v>14253547.35</v>
      </c>
    </row>
    <row r="75" spans="1:19" ht="85.5">
      <c r="A75" s="146"/>
      <c r="B75" s="147" t="s">
        <v>76</v>
      </c>
      <c r="C75" s="147"/>
      <c r="D75" s="158"/>
      <c r="E75" s="129"/>
      <c r="F75" s="129"/>
      <c r="G75" s="129"/>
      <c r="H75" s="129"/>
      <c r="I75" s="129"/>
      <c r="J75" s="136"/>
      <c r="K75" s="136"/>
      <c r="L75" s="136"/>
      <c r="M75" s="136">
        <f t="shared" si="2"/>
        <v>0</v>
      </c>
      <c r="N75" s="136">
        <f>SUM(N76:N78)</f>
        <v>5155136.5633333344</v>
      </c>
      <c r="O75" s="136">
        <f t="shared" ref="O75:S75" si="75">SUM(O76:O78)</f>
        <v>1654524.1466666667</v>
      </c>
      <c r="P75" s="136">
        <f t="shared" si="75"/>
        <v>3813992.3933333335</v>
      </c>
      <c r="Q75" s="136">
        <f t="shared" si="75"/>
        <v>10623653.103333335</v>
      </c>
      <c r="R75" s="136">
        <f t="shared" si="75"/>
        <v>10614623.949999999</v>
      </c>
      <c r="S75" s="136">
        <f t="shared" si="75"/>
        <v>10614623.949999999</v>
      </c>
    </row>
    <row r="76" spans="1:19" ht="105">
      <c r="A76" s="146"/>
      <c r="B76" s="149" t="s">
        <v>19</v>
      </c>
      <c r="C76" s="146" t="s">
        <v>0</v>
      </c>
      <c r="D76" s="180" t="s">
        <v>20</v>
      </c>
      <c r="E76" s="150">
        <v>15</v>
      </c>
      <c r="F76" s="150">
        <v>20</v>
      </c>
      <c r="G76" s="150">
        <f t="shared" ref="G76:G79" si="76">(E76*8+F76*4)/12</f>
        <v>16.666666666666668</v>
      </c>
      <c r="H76" s="150">
        <v>20</v>
      </c>
      <c r="I76" s="150">
        <v>20</v>
      </c>
      <c r="J76" s="136">
        <v>41608.51</v>
      </c>
      <c r="K76" s="136">
        <v>11762.02</v>
      </c>
      <c r="L76" s="136">
        <v>27113.69</v>
      </c>
      <c r="M76" s="136">
        <f t="shared" si="2"/>
        <v>80484.22</v>
      </c>
      <c r="N76" s="136">
        <f>G76*J76</f>
        <v>693475.16666666674</v>
      </c>
      <c r="O76" s="136">
        <f>G76*K76</f>
        <v>196033.66666666669</v>
      </c>
      <c r="P76" s="136">
        <f>G76*L76</f>
        <v>451894.83333333337</v>
      </c>
      <c r="Q76" s="136">
        <f t="shared" si="4"/>
        <v>1341403.666666667</v>
      </c>
      <c r="R76" s="136">
        <f t="shared" si="5"/>
        <v>1609684.4</v>
      </c>
      <c r="S76" s="136">
        <f t="shared" si="6"/>
        <v>1609684.4</v>
      </c>
    </row>
    <row r="77" spans="1:19">
      <c r="A77" s="151"/>
      <c r="B77" s="149" t="s">
        <v>24</v>
      </c>
      <c r="C77" s="149"/>
      <c r="D77" s="149" t="s">
        <v>20</v>
      </c>
      <c r="E77" s="150">
        <v>102</v>
      </c>
      <c r="F77" s="150">
        <v>95</v>
      </c>
      <c r="G77" s="150">
        <f t="shared" si="76"/>
        <v>99.666666666666671</v>
      </c>
      <c r="H77" s="150">
        <v>95</v>
      </c>
      <c r="I77" s="150">
        <v>95</v>
      </c>
      <c r="J77" s="136">
        <v>32991.18</v>
      </c>
      <c r="K77" s="136">
        <v>11762.02</v>
      </c>
      <c r="L77" s="136">
        <v>27113.69</v>
      </c>
      <c r="M77" s="136">
        <f t="shared" si="2"/>
        <v>71866.89</v>
      </c>
      <c r="N77" s="136">
        <f t="shared" ref="N77:N79" si="77">G77*J77</f>
        <v>3288120.9400000004</v>
      </c>
      <c r="O77" s="136">
        <f t="shared" ref="O77:O79" si="78">G77*K77</f>
        <v>1172281.3266666667</v>
      </c>
      <c r="P77" s="136">
        <f t="shared" ref="P77:P78" si="79">G77*L77</f>
        <v>2702331.1033333335</v>
      </c>
      <c r="Q77" s="136">
        <f t="shared" si="4"/>
        <v>7162733.370000001</v>
      </c>
      <c r="R77" s="136">
        <f t="shared" si="5"/>
        <v>6827354.5499999998</v>
      </c>
      <c r="S77" s="136">
        <f t="shared" si="6"/>
        <v>6827354.5499999998</v>
      </c>
    </row>
    <row r="78" spans="1:19" ht="120">
      <c r="A78" s="151"/>
      <c r="B78" s="149" t="s">
        <v>24</v>
      </c>
      <c r="C78" s="156" t="s">
        <v>162</v>
      </c>
      <c r="D78" s="180" t="s">
        <v>20</v>
      </c>
      <c r="E78" s="150">
        <v>24</v>
      </c>
      <c r="F78" s="150">
        <v>25</v>
      </c>
      <c r="G78" s="150">
        <f t="shared" si="76"/>
        <v>24.333333333333332</v>
      </c>
      <c r="H78" s="150">
        <v>25</v>
      </c>
      <c r="I78" s="150">
        <v>25</v>
      </c>
      <c r="J78" s="136">
        <v>48227.69</v>
      </c>
      <c r="K78" s="136" t="s">
        <v>163</v>
      </c>
      <c r="L78" s="136" t="s">
        <v>164</v>
      </c>
      <c r="M78" s="136">
        <f t="shared" si="2"/>
        <v>87103.400000000009</v>
      </c>
      <c r="N78" s="136">
        <f t="shared" si="77"/>
        <v>1173540.4566666668</v>
      </c>
      <c r="O78" s="136">
        <f t="shared" si="78"/>
        <v>286209.15333333332</v>
      </c>
      <c r="P78" s="136">
        <f t="shared" si="79"/>
        <v>659766.45666666655</v>
      </c>
      <c r="Q78" s="136">
        <f t="shared" si="4"/>
        <v>2119516.0666666664</v>
      </c>
      <c r="R78" s="136">
        <f t="shared" si="5"/>
        <v>2177585</v>
      </c>
      <c r="S78" s="136">
        <f t="shared" si="6"/>
        <v>2177585</v>
      </c>
    </row>
    <row r="79" spans="1:19">
      <c r="A79" s="149"/>
      <c r="B79" s="149" t="s">
        <v>28</v>
      </c>
      <c r="C79" s="149"/>
      <c r="D79" s="149" t="s">
        <v>20</v>
      </c>
      <c r="E79" s="150">
        <v>141</v>
      </c>
      <c r="F79" s="150">
        <v>140</v>
      </c>
      <c r="G79" s="150">
        <f t="shared" si="76"/>
        <v>140.66666666666666</v>
      </c>
      <c r="H79" s="150" t="s">
        <v>67</v>
      </c>
      <c r="I79" s="150" t="s">
        <v>67</v>
      </c>
      <c r="J79" s="136" t="s">
        <v>23</v>
      </c>
      <c r="K79" s="136"/>
      <c r="L79" s="136">
        <v>25992.31</v>
      </c>
      <c r="M79" s="136">
        <f t="shared" si="2"/>
        <v>25992.31</v>
      </c>
      <c r="N79" s="136">
        <f t="shared" si="77"/>
        <v>0</v>
      </c>
      <c r="O79" s="136">
        <f t="shared" si="78"/>
        <v>0</v>
      </c>
      <c r="P79" s="136">
        <f>G79*L79</f>
        <v>3656251.6066666665</v>
      </c>
      <c r="Q79" s="136">
        <f t="shared" si="4"/>
        <v>3656251.6066666665</v>
      </c>
      <c r="R79" s="136">
        <f t="shared" si="5"/>
        <v>3638923.4000000004</v>
      </c>
      <c r="S79" s="136">
        <f t="shared" si="6"/>
        <v>3638923.4000000004</v>
      </c>
    </row>
    <row r="80" spans="1:19" s="159" customFormat="1" ht="14.25">
      <c r="A80" s="181" t="s">
        <v>71</v>
      </c>
      <c r="B80" s="157"/>
      <c r="C80" s="157"/>
      <c r="D80" s="157"/>
      <c r="E80" s="155"/>
      <c r="F80" s="155"/>
      <c r="G80" s="155"/>
      <c r="H80" s="155"/>
      <c r="I80" s="155"/>
      <c r="J80" s="140"/>
      <c r="K80" s="140"/>
      <c r="L80" s="140"/>
      <c r="M80" s="140">
        <f t="shared" si="2"/>
        <v>0</v>
      </c>
      <c r="N80" s="140">
        <f>N81+N85</f>
        <v>9119172.0933333337</v>
      </c>
      <c r="O80" s="140">
        <f t="shared" ref="O80:S80" si="80">O81+O85</f>
        <v>2834646.8200000003</v>
      </c>
      <c r="P80" s="140">
        <f t="shared" si="80"/>
        <v>12798546</v>
      </c>
      <c r="Q80" s="140">
        <f t="shared" si="80"/>
        <v>24752364.913333334</v>
      </c>
      <c r="R80" s="140">
        <f t="shared" si="80"/>
        <v>25110106.960000001</v>
      </c>
      <c r="S80" s="140">
        <f t="shared" si="80"/>
        <v>25110106.960000001</v>
      </c>
    </row>
    <row r="81" spans="1:19" ht="85.5">
      <c r="A81" s="146"/>
      <c r="B81" s="147" t="s">
        <v>76</v>
      </c>
      <c r="C81" s="147"/>
      <c r="D81" s="158"/>
      <c r="E81" s="129"/>
      <c r="F81" s="129"/>
      <c r="G81" s="129"/>
      <c r="H81" s="129"/>
      <c r="I81" s="129"/>
      <c r="J81" s="136"/>
      <c r="K81" s="136"/>
      <c r="L81" s="136"/>
      <c r="M81" s="136">
        <f t="shared" ref="M81:M85" si="81">J81+K81+L81</f>
        <v>0</v>
      </c>
      <c r="N81" s="136">
        <f>SUM(N82:N84)</f>
        <v>9119172.0933333337</v>
      </c>
      <c r="O81" s="136">
        <f t="shared" ref="O81:S81" si="82">SUM(O82:O84)</f>
        <v>2834646.8200000003</v>
      </c>
      <c r="P81" s="136">
        <f t="shared" si="82"/>
        <v>6534399.29</v>
      </c>
      <c r="Q81" s="136">
        <f t="shared" si="82"/>
        <v>18488218.203333333</v>
      </c>
      <c r="R81" s="136">
        <f t="shared" si="82"/>
        <v>18793975.630000003</v>
      </c>
      <c r="S81" s="136">
        <f t="shared" si="82"/>
        <v>18793975.630000003</v>
      </c>
    </row>
    <row r="82" spans="1:19" ht="105">
      <c r="A82" s="146"/>
      <c r="B82" s="149" t="s">
        <v>19</v>
      </c>
      <c r="C82" s="146" t="s">
        <v>0</v>
      </c>
      <c r="D82" s="180" t="s">
        <v>20</v>
      </c>
      <c r="E82" s="150">
        <v>36</v>
      </c>
      <c r="F82" s="150">
        <v>20</v>
      </c>
      <c r="G82" s="150">
        <f t="shared" ref="G82:G85" si="83">(E82*8+F82*4)/12</f>
        <v>30.666666666666668</v>
      </c>
      <c r="H82" s="150">
        <v>20</v>
      </c>
      <c r="I82" s="150">
        <v>20</v>
      </c>
      <c r="J82" s="136">
        <v>41608.51</v>
      </c>
      <c r="K82" s="136">
        <v>11762.02</v>
      </c>
      <c r="L82" s="136">
        <v>27113.69</v>
      </c>
      <c r="M82" s="136">
        <f t="shared" si="81"/>
        <v>80484.22</v>
      </c>
      <c r="N82" s="136">
        <f>G82*J82</f>
        <v>1275994.3066666669</v>
      </c>
      <c r="O82" s="136">
        <f>G82*K82</f>
        <v>360701.94666666671</v>
      </c>
      <c r="P82" s="136">
        <f>G82*L82</f>
        <v>831486.49333333329</v>
      </c>
      <c r="Q82" s="136">
        <f t="shared" ref="Q82:Q85" si="84">SUM(N82:P82)</f>
        <v>2468182.7466666671</v>
      </c>
      <c r="R82" s="136">
        <f t="shared" ref="R82:R85" si="85">H82*M82</f>
        <v>1609684.4</v>
      </c>
      <c r="S82" s="136">
        <f t="shared" ref="S82:S85" si="86">I82*M82</f>
        <v>1609684.4</v>
      </c>
    </row>
    <row r="83" spans="1:19">
      <c r="A83" s="151"/>
      <c r="B83" s="149" t="s">
        <v>24</v>
      </c>
      <c r="C83" s="149"/>
      <c r="D83" s="149" t="s">
        <v>20</v>
      </c>
      <c r="E83" s="150">
        <v>153</v>
      </c>
      <c r="F83" s="150">
        <v>147</v>
      </c>
      <c r="G83" s="150">
        <f t="shared" si="83"/>
        <v>151</v>
      </c>
      <c r="H83" s="150">
        <v>147</v>
      </c>
      <c r="I83" s="150">
        <v>147</v>
      </c>
      <c r="J83" s="136">
        <v>32991.18</v>
      </c>
      <c r="K83" s="136">
        <v>11762.02</v>
      </c>
      <c r="L83" s="136">
        <v>27113.69</v>
      </c>
      <c r="M83" s="136">
        <f t="shared" si="81"/>
        <v>71866.89</v>
      </c>
      <c r="N83" s="136">
        <f t="shared" ref="N83:N85" si="87">G83*J83</f>
        <v>4981668.18</v>
      </c>
      <c r="O83" s="136">
        <f t="shared" ref="O83:O85" si="88">G83*K83</f>
        <v>1776065.02</v>
      </c>
      <c r="P83" s="136">
        <f t="shared" ref="P83:P84" si="89">G83*L83</f>
        <v>4094167.19</v>
      </c>
      <c r="Q83" s="136">
        <f t="shared" si="84"/>
        <v>10851900.389999999</v>
      </c>
      <c r="R83" s="136">
        <f t="shared" si="85"/>
        <v>10564432.83</v>
      </c>
      <c r="S83" s="136">
        <f t="shared" si="86"/>
        <v>10564432.83</v>
      </c>
    </row>
    <row r="84" spans="1:19" ht="120">
      <c r="A84" s="151"/>
      <c r="B84" s="149" t="s">
        <v>24</v>
      </c>
      <c r="C84" s="146" t="s">
        <v>162</v>
      </c>
      <c r="D84" s="180" t="s">
        <v>20</v>
      </c>
      <c r="E84" s="150">
        <v>51</v>
      </c>
      <c r="F84" s="150">
        <v>76</v>
      </c>
      <c r="G84" s="150">
        <f t="shared" si="83"/>
        <v>59.333333333333336</v>
      </c>
      <c r="H84" s="150">
        <v>76</v>
      </c>
      <c r="I84" s="150">
        <v>76</v>
      </c>
      <c r="J84" s="136">
        <v>48227.69</v>
      </c>
      <c r="K84" s="136" t="s">
        <v>163</v>
      </c>
      <c r="L84" s="136" t="s">
        <v>164</v>
      </c>
      <c r="M84" s="136">
        <f t="shared" si="81"/>
        <v>87103.400000000009</v>
      </c>
      <c r="N84" s="136">
        <f t="shared" si="87"/>
        <v>2861509.6066666669</v>
      </c>
      <c r="O84" s="136">
        <f t="shared" si="88"/>
        <v>697879.85333333339</v>
      </c>
      <c r="P84" s="136">
        <f t="shared" si="89"/>
        <v>1608745.6066666667</v>
      </c>
      <c r="Q84" s="136">
        <f t="shared" si="84"/>
        <v>5168135.0666666673</v>
      </c>
      <c r="R84" s="136">
        <f t="shared" si="85"/>
        <v>6619858.4000000004</v>
      </c>
      <c r="S84" s="136">
        <f t="shared" si="86"/>
        <v>6619858.4000000004</v>
      </c>
    </row>
    <row r="85" spans="1:19">
      <c r="A85" s="149"/>
      <c r="B85" s="160" t="s">
        <v>75</v>
      </c>
      <c r="C85" s="160"/>
      <c r="D85" s="149" t="s">
        <v>20</v>
      </c>
      <c r="E85" s="150">
        <v>240</v>
      </c>
      <c r="F85" s="150">
        <v>243</v>
      </c>
      <c r="G85" s="150">
        <f t="shared" si="83"/>
        <v>241</v>
      </c>
      <c r="H85" s="150">
        <v>243</v>
      </c>
      <c r="I85" s="150">
        <v>243</v>
      </c>
      <c r="J85" s="136" t="s">
        <v>23</v>
      </c>
      <c r="K85" s="136"/>
      <c r="L85" s="136">
        <v>25992.31</v>
      </c>
      <c r="M85" s="136">
        <f t="shared" si="81"/>
        <v>25992.31</v>
      </c>
      <c r="N85" s="136">
        <f t="shared" si="87"/>
        <v>0</v>
      </c>
      <c r="O85" s="136">
        <f t="shared" si="88"/>
        <v>0</v>
      </c>
      <c r="P85" s="136">
        <f>G85*L85</f>
        <v>6264146.71</v>
      </c>
      <c r="Q85" s="136">
        <f t="shared" si="84"/>
        <v>6264146.71</v>
      </c>
      <c r="R85" s="136">
        <f t="shared" si="85"/>
        <v>6316131.3300000001</v>
      </c>
      <c r="S85" s="136">
        <f t="shared" si="86"/>
        <v>6316131.3300000001</v>
      </c>
    </row>
    <row r="86" spans="1:19">
      <c r="A86" s="219" t="s">
        <v>154</v>
      </c>
      <c r="B86" s="219"/>
      <c r="C86" s="219"/>
      <c r="D86" s="149"/>
      <c r="E86" s="150"/>
      <c r="F86" s="150"/>
      <c r="G86" s="150"/>
      <c r="H86" s="150"/>
      <c r="I86" s="150"/>
      <c r="J86" s="136"/>
      <c r="K86" s="136"/>
      <c r="L86" s="136"/>
      <c r="M86" s="136"/>
      <c r="N86" s="136"/>
      <c r="O86" s="136"/>
      <c r="P86" s="136"/>
      <c r="Q86" s="136"/>
      <c r="R86" s="136"/>
      <c r="S86" s="136"/>
    </row>
    <row r="87" spans="1:19" ht="30">
      <c r="A87" s="223" t="s">
        <v>3</v>
      </c>
      <c r="B87" s="223" t="s">
        <v>86</v>
      </c>
      <c r="C87" s="182" t="s">
        <v>87</v>
      </c>
      <c r="D87" s="223" t="s">
        <v>4</v>
      </c>
      <c r="E87" s="224" t="s">
        <v>5</v>
      </c>
      <c r="F87" s="224"/>
      <c r="G87" s="224"/>
      <c r="H87" s="224"/>
      <c r="I87" s="224"/>
      <c r="J87" s="211" t="s">
        <v>6</v>
      </c>
      <c r="K87" s="211"/>
      <c r="L87" s="211"/>
      <c r="M87" s="211"/>
      <c r="N87" s="211" t="s">
        <v>7</v>
      </c>
      <c r="O87" s="211"/>
      <c r="P87" s="211"/>
      <c r="Q87" s="211"/>
      <c r="R87" s="211"/>
      <c r="S87" s="211"/>
    </row>
    <row r="88" spans="1:19" ht="120">
      <c r="A88" s="223"/>
      <c r="B88" s="223"/>
      <c r="C88" s="182"/>
      <c r="D88" s="223"/>
      <c r="E88" s="183" t="s">
        <v>8</v>
      </c>
      <c r="F88" s="183" t="s">
        <v>188</v>
      </c>
      <c r="G88" s="187" t="s">
        <v>189</v>
      </c>
      <c r="H88" s="183" t="s">
        <v>9</v>
      </c>
      <c r="I88" s="183" t="s">
        <v>10</v>
      </c>
      <c r="J88" s="179" t="s">
        <v>88</v>
      </c>
      <c r="K88" s="179" t="s">
        <v>89</v>
      </c>
      <c r="L88" s="179" t="s">
        <v>90</v>
      </c>
      <c r="M88" s="179" t="s">
        <v>91</v>
      </c>
      <c r="N88" s="179" t="s">
        <v>92</v>
      </c>
      <c r="O88" s="191" t="s">
        <v>93</v>
      </c>
      <c r="P88" s="191" t="s">
        <v>94</v>
      </c>
      <c r="Q88" s="184" t="s">
        <v>95</v>
      </c>
      <c r="R88" s="179" t="s">
        <v>96</v>
      </c>
      <c r="S88" s="179" t="s">
        <v>97</v>
      </c>
    </row>
    <row r="89" spans="1:19" ht="45">
      <c r="A89" s="161" t="s">
        <v>13</v>
      </c>
      <c r="B89" s="161" t="s">
        <v>13</v>
      </c>
      <c r="C89" s="161"/>
      <c r="D89" s="161" t="s">
        <v>15</v>
      </c>
      <c r="E89" s="162" t="s">
        <v>16</v>
      </c>
      <c r="F89" s="162" t="s">
        <v>16</v>
      </c>
      <c r="G89" s="162"/>
      <c r="H89" s="162" t="s">
        <v>16</v>
      </c>
      <c r="I89" s="162" t="s">
        <v>16</v>
      </c>
      <c r="J89" s="179" t="s">
        <v>17</v>
      </c>
      <c r="K89" s="179" t="s">
        <v>17</v>
      </c>
      <c r="L89" s="179" t="s">
        <v>17</v>
      </c>
      <c r="M89" s="179" t="s">
        <v>17</v>
      </c>
      <c r="N89" s="179" t="s">
        <v>17</v>
      </c>
      <c r="O89" s="191" t="s">
        <v>17</v>
      </c>
      <c r="P89" s="191" t="s">
        <v>17</v>
      </c>
      <c r="Q89" s="184" t="s">
        <v>17</v>
      </c>
      <c r="R89" s="179" t="s">
        <v>17</v>
      </c>
      <c r="S89" s="179" t="s">
        <v>17</v>
      </c>
    </row>
    <row r="90" spans="1:19" ht="90">
      <c r="A90" s="225" t="s">
        <v>98</v>
      </c>
      <c r="B90" s="228" t="s">
        <v>99</v>
      </c>
      <c r="C90" s="122" t="s">
        <v>100</v>
      </c>
      <c r="D90" s="123" t="s">
        <v>101</v>
      </c>
      <c r="E90" s="120">
        <v>227</v>
      </c>
      <c r="F90" s="120">
        <v>250</v>
      </c>
      <c r="G90" s="120">
        <f>((E90*8)+(F90*4))/12</f>
        <v>234.66666666666666</v>
      </c>
      <c r="H90" s="120">
        <v>250</v>
      </c>
      <c r="I90" s="120">
        <v>250</v>
      </c>
      <c r="J90" s="175">
        <f>SUM(K90:M90)</f>
        <v>43059.57</v>
      </c>
      <c r="K90" s="175">
        <f>22328.93+952.08</f>
        <v>23281.010000000002</v>
      </c>
      <c r="L90" s="131">
        <v>3857.41</v>
      </c>
      <c r="M90" s="131">
        <v>15921.15</v>
      </c>
      <c r="N90" s="132">
        <f>SUM(O90:Q90)</f>
        <v>10104645.76</v>
      </c>
      <c r="O90" s="132">
        <f>G90*K90</f>
        <v>5463277.0133333337</v>
      </c>
      <c r="P90" s="132">
        <f>G90*L90</f>
        <v>905205.54666666663</v>
      </c>
      <c r="Q90" s="136">
        <f>G90*M90</f>
        <v>3736163.1999999997</v>
      </c>
      <c r="R90" s="136">
        <f>H90*J90</f>
        <v>10764892.5</v>
      </c>
      <c r="S90" s="136">
        <f>I90*J90</f>
        <v>10764892.5</v>
      </c>
    </row>
    <row r="91" spans="1:19" ht="120.75" customHeight="1">
      <c r="A91" s="225"/>
      <c r="B91" s="229"/>
      <c r="C91" s="124" t="s">
        <v>173</v>
      </c>
      <c r="D91" s="125" t="s">
        <v>101</v>
      </c>
      <c r="E91" s="120" t="s">
        <v>104</v>
      </c>
      <c r="F91" s="120" t="s">
        <v>104</v>
      </c>
      <c r="G91" s="120"/>
      <c r="H91" s="120" t="s">
        <v>104</v>
      </c>
      <c r="I91" s="120" t="s">
        <v>104</v>
      </c>
      <c r="J91" s="120" t="s">
        <v>104</v>
      </c>
      <c r="K91" s="120" t="s">
        <v>104</v>
      </c>
      <c r="L91" s="133" t="s">
        <v>104</v>
      </c>
      <c r="M91" s="133" t="s">
        <v>104</v>
      </c>
      <c r="N91" s="179"/>
      <c r="O91" s="132"/>
      <c r="P91" s="133" t="s">
        <v>104</v>
      </c>
      <c r="Q91" s="133" t="s">
        <v>104</v>
      </c>
      <c r="R91" s="163"/>
      <c r="S91" s="163"/>
    </row>
    <row r="92" spans="1:19">
      <c r="A92" s="225"/>
      <c r="B92" s="229"/>
      <c r="C92" s="124" t="s">
        <v>174</v>
      </c>
      <c r="D92" s="125"/>
      <c r="E92" s="120"/>
      <c r="F92" s="120">
        <v>1</v>
      </c>
      <c r="G92" s="164">
        <f>((E92*8)+(F92*4))/12</f>
        <v>0.33333333333333331</v>
      </c>
      <c r="H92" s="120">
        <v>1</v>
      </c>
      <c r="I92" s="120">
        <v>1</v>
      </c>
      <c r="J92" s="132">
        <f>K92</f>
        <v>24684.9</v>
      </c>
      <c r="K92" s="136">
        <v>24684.9</v>
      </c>
      <c r="L92" s="133" t="s">
        <v>104</v>
      </c>
      <c r="M92" s="133" t="s">
        <v>104</v>
      </c>
      <c r="N92" s="179">
        <f>O92</f>
        <v>8228.2999999999993</v>
      </c>
      <c r="O92" s="132">
        <f t="shared" ref="O92:O96" si="90">G92*K92</f>
        <v>8228.2999999999993</v>
      </c>
      <c r="P92" s="133" t="s">
        <v>104</v>
      </c>
      <c r="Q92" s="133" t="s">
        <v>104</v>
      </c>
      <c r="R92" s="163">
        <f>H92*K92</f>
        <v>24684.9</v>
      </c>
      <c r="S92" s="163">
        <f>I92*K92</f>
        <v>24684.9</v>
      </c>
    </row>
    <row r="93" spans="1:19">
      <c r="A93" s="225"/>
      <c r="B93" s="229"/>
      <c r="C93" s="124" t="s">
        <v>175</v>
      </c>
      <c r="D93" s="125"/>
      <c r="E93" s="120"/>
      <c r="F93" s="120">
        <v>1</v>
      </c>
      <c r="G93" s="164">
        <f t="shared" ref="G93:G96" si="91">((E93*8)+(F93*4))/12</f>
        <v>0.33333333333333331</v>
      </c>
      <c r="H93" s="120">
        <v>1</v>
      </c>
      <c r="I93" s="120">
        <v>1</v>
      </c>
      <c r="J93" s="132">
        <f t="shared" ref="J93:J96" si="92">K93</f>
        <v>89075.19</v>
      </c>
      <c r="K93" s="136">
        <v>89075.19</v>
      </c>
      <c r="L93" s="133" t="s">
        <v>104</v>
      </c>
      <c r="M93" s="133" t="s">
        <v>104</v>
      </c>
      <c r="N93" s="179">
        <f t="shared" ref="N93:N96" si="93">O93</f>
        <v>29691.73</v>
      </c>
      <c r="O93" s="132">
        <f t="shared" si="90"/>
        <v>29691.73</v>
      </c>
      <c r="P93" s="133" t="s">
        <v>104</v>
      </c>
      <c r="Q93" s="133" t="s">
        <v>104</v>
      </c>
      <c r="R93" s="163">
        <f t="shared" ref="R93:R96" si="94">H93*K93</f>
        <v>89075.19</v>
      </c>
      <c r="S93" s="163">
        <f t="shared" ref="S93:S96" si="95">I93*K93</f>
        <v>89075.19</v>
      </c>
    </row>
    <row r="94" spans="1:19">
      <c r="A94" s="225"/>
      <c r="B94" s="229"/>
      <c r="C94" s="124" t="s">
        <v>176</v>
      </c>
      <c r="D94" s="125"/>
      <c r="E94" s="120"/>
      <c r="F94" s="120">
        <v>8</v>
      </c>
      <c r="G94" s="164">
        <f t="shared" si="91"/>
        <v>2.6666666666666665</v>
      </c>
      <c r="H94" s="120">
        <v>8</v>
      </c>
      <c r="I94" s="120">
        <v>8</v>
      </c>
      <c r="J94" s="132">
        <f t="shared" si="92"/>
        <v>63972.15</v>
      </c>
      <c r="K94" s="136">
        <v>63972.15</v>
      </c>
      <c r="L94" s="133" t="s">
        <v>104</v>
      </c>
      <c r="M94" s="133" t="s">
        <v>104</v>
      </c>
      <c r="N94" s="179">
        <f t="shared" si="93"/>
        <v>170592.4</v>
      </c>
      <c r="O94" s="132">
        <f t="shared" si="90"/>
        <v>170592.4</v>
      </c>
      <c r="P94" s="133" t="s">
        <v>104</v>
      </c>
      <c r="Q94" s="133" t="s">
        <v>104</v>
      </c>
      <c r="R94" s="163">
        <f t="shared" si="94"/>
        <v>511777.2</v>
      </c>
      <c r="S94" s="163">
        <f t="shared" si="95"/>
        <v>511777.2</v>
      </c>
    </row>
    <row r="95" spans="1:19">
      <c r="A95" s="225"/>
      <c r="B95" s="229"/>
      <c r="C95" s="124" t="s">
        <v>178</v>
      </c>
      <c r="D95" s="125"/>
      <c r="E95" s="120"/>
      <c r="F95" s="120">
        <v>1</v>
      </c>
      <c r="G95" s="164">
        <f t="shared" si="91"/>
        <v>0.33333333333333331</v>
      </c>
      <c r="H95" s="120">
        <v>1</v>
      </c>
      <c r="I95" s="120">
        <v>1</v>
      </c>
      <c r="J95" s="132">
        <f t="shared" si="92"/>
        <v>172299.06</v>
      </c>
      <c r="K95" s="136">
        <v>172299.06</v>
      </c>
      <c r="L95" s="133" t="s">
        <v>104</v>
      </c>
      <c r="M95" s="133" t="s">
        <v>104</v>
      </c>
      <c r="N95" s="179">
        <f t="shared" si="93"/>
        <v>57433.02</v>
      </c>
      <c r="O95" s="132">
        <f t="shared" si="90"/>
        <v>57433.02</v>
      </c>
      <c r="P95" s="133" t="s">
        <v>104</v>
      </c>
      <c r="Q95" s="133" t="s">
        <v>104</v>
      </c>
      <c r="R95" s="163">
        <f t="shared" si="94"/>
        <v>172299.06</v>
      </c>
      <c r="S95" s="163">
        <f t="shared" si="95"/>
        <v>172299.06</v>
      </c>
    </row>
    <row r="96" spans="1:19">
      <c r="A96" s="225"/>
      <c r="B96" s="229"/>
      <c r="C96" s="124" t="s">
        <v>179</v>
      </c>
      <c r="D96" s="125"/>
      <c r="E96" s="120">
        <v>3</v>
      </c>
      <c r="F96" s="120">
        <v>2</v>
      </c>
      <c r="G96" s="164">
        <f t="shared" si="91"/>
        <v>2.6666666666666665</v>
      </c>
      <c r="H96" s="120">
        <v>2</v>
      </c>
      <c r="I96" s="120">
        <v>2</v>
      </c>
      <c r="J96" s="132">
        <f t="shared" si="92"/>
        <v>22724.03</v>
      </c>
      <c r="K96" s="136">
        <v>22724.03</v>
      </c>
      <c r="L96" s="133" t="s">
        <v>104</v>
      </c>
      <c r="M96" s="133" t="s">
        <v>104</v>
      </c>
      <c r="N96" s="179">
        <f t="shared" si="93"/>
        <v>60597.41333333333</v>
      </c>
      <c r="O96" s="132">
        <f t="shared" si="90"/>
        <v>60597.41333333333</v>
      </c>
      <c r="P96" s="133" t="s">
        <v>104</v>
      </c>
      <c r="Q96" s="133" t="s">
        <v>104</v>
      </c>
      <c r="R96" s="163">
        <f t="shared" si="94"/>
        <v>45448.06</v>
      </c>
      <c r="S96" s="163">
        <f t="shared" si="95"/>
        <v>45448.06</v>
      </c>
    </row>
    <row r="97" spans="1:22" ht="120">
      <c r="A97" s="225"/>
      <c r="B97" s="229"/>
      <c r="C97" s="122" t="s">
        <v>105</v>
      </c>
      <c r="D97" s="125" t="s">
        <v>101</v>
      </c>
      <c r="E97" s="120">
        <v>3</v>
      </c>
      <c r="F97" s="120">
        <v>3</v>
      </c>
      <c r="G97" s="120">
        <f t="shared" ref="G97:G98" si="96">((E97*8)+(F97*4))/12</f>
        <v>3</v>
      </c>
      <c r="H97" s="120">
        <v>3</v>
      </c>
      <c r="I97" s="120">
        <v>3</v>
      </c>
      <c r="J97" s="136">
        <f>SUM(K97:M97)</f>
        <v>137159.02000000002</v>
      </c>
      <c r="K97" s="136">
        <f>116428.38+952.08</f>
        <v>117380.46</v>
      </c>
      <c r="L97" s="133">
        <v>3857.41</v>
      </c>
      <c r="M97" s="133">
        <v>15921.15</v>
      </c>
      <c r="N97" s="132">
        <f>SUM(O97:Q97)</f>
        <v>411477.06</v>
      </c>
      <c r="O97" s="132">
        <f>G97*K97</f>
        <v>352141.38</v>
      </c>
      <c r="P97" s="132">
        <f>G97*L97</f>
        <v>11572.23</v>
      </c>
      <c r="Q97" s="136">
        <f>G97*M97</f>
        <v>47763.45</v>
      </c>
      <c r="R97" s="163">
        <f t="shared" ref="R97:R191" si="97">H97*J97</f>
        <v>411477.06000000006</v>
      </c>
      <c r="S97" s="163">
        <f t="shared" ref="S97:S191" si="98">I97*J97</f>
        <v>411477.06000000006</v>
      </c>
    </row>
    <row r="98" spans="1:22">
      <c r="A98" s="225"/>
      <c r="B98" s="230"/>
      <c r="C98" s="127" t="s">
        <v>106</v>
      </c>
      <c r="D98" s="128"/>
      <c r="E98" s="120">
        <f>E90+E97</f>
        <v>230</v>
      </c>
      <c r="F98" s="120">
        <f>F90+F97</f>
        <v>253</v>
      </c>
      <c r="G98" s="120">
        <f t="shared" si="96"/>
        <v>237.66666666666666</v>
      </c>
      <c r="H98" s="120">
        <f t="shared" ref="H98:I98" si="99">H90+H97</f>
        <v>253</v>
      </c>
      <c r="I98" s="120">
        <f t="shared" si="99"/>
        <v>253</v>
      </c>
      <c r="J98" s="132" t="s">
        <v>104</v>
      </c>
      <c r="K98" s="132" t="s">
        <v>104</v>
      </c>
      <c r="L98" s="132" t="s">
        <v>104</v>
      </c>
      <c r="M98" s="132" t="s">
        <v>104</v>
      </c>
      <c r="N98" s="132">
        <f>SUM(N90:N97)</f>
        <v>10842665.683333335</v>
      </c>
      <c r="O98" s="132">
        <f t="shared" ref="O98:Q98" si="100">SUM(O90:O97)</f>
        <v>6141961.2566666668</v>
      </c>
      <c r="P98" s="132">
        <f t="shared" si="100"/>
        <v>916777.77666666661</v>
      </c>
      <c r="Q98" s="132">
        <f t="shared" si="100"/>
        <v>3783926.65</v>
      </c>
      <c r="R98" s="136">
        <f>SUM(R90:R97)</f>
        <v>12019653.970000001</v>
      </c>
      <c r="S98" s="136">
        <f>SUM(S90:S97)</f>
        <v>12019653.970000001</v>
      </c>
    </row>
    <row r="99" spans="1:22" ht="90">
      <c r="A99" s="225"/>
      <c r="B99" s="226" t="s">
        <v>107</v>
      </c>
      <c r="C99" s="122" t="s">
        <v>100</v>
      </c>
      <c r="D99" s="123" t="s">
        <v>101</v>
      </c>
      <c r="E99" s="120">
        <v>227</v>
      </c>
      <c r="F99" s="120">
        <v>219</v>
      </c>
      <c r="G99" s="120">
        <f>(E99*8+F99*4)/12</f>
        <v>224.33333333333334</v>
      </c>
      <c r="H99" s="120">
        <v>219</v>
      </c>
      <c r="I99" s="120">
        <v>219</v>
      </c>
      <c r="J99" s="175">
        <f>SUM(K99:M99)</f>
        <v>54095.340000000004</v>
      </c>
      <c r="K99" s="175">
        <f>33147.58+1169.2</f>
        <v>34316.78</v>
      </c>
      <c r="L99" s="131">
        <v>3857.41</v>
      </c>
      <c r="M99" s="133">
        <v>15921.15</v>
      </c>
      <c r="N99" s="132">
        <f>SUM(O99:Q99)</f>
        <v>12135387.939999999</v>
      </c>
      <c r="O99" s="132">
        <f>G99*K99</f>
        <v>7698397.6466666665</v>
      </c>
      <c r="P99" s="134">
        <f>G99*L99</f>
        <v>865345.64333333331</v>
      </c>
      <c r="Q99" s="132">
        <f>G99*M99</f>
        <v>3571644.65</v>
      </c>
      <c r="R99" s="136">
        <f t="shared" si="97"/>
        <v>11846879.460000001</v>
      </c>
      <c r="S99" s="136">
        <f t="shared" si="98"/>
        <v>11846879.460000001</v>
      </c>
      <c r="V99" s="148"/>
    </row>
    <row r="100" spans="1:22" ht="111.75" customHeight="1">
      <c r="A100" s="225"/>
      <c r="B100" s="226"/>
      <c r="C100" s="124" t="s">
        <v>102</v>
      </c>
      <c r="D100" s="125" t="s">
        <v>101</v>
      </c>
      <c r="E100" s="120" t="s">
        <v>104</v>
      </c>
      <c r="F100" s="120" t="s">
        <v>104</v>
      </c>
      <c r="G100" s="120" t="s">
        <v>104</v>
      </c>
      <c r="H100" s="120" t="s">
        <v>104</v>
      </c>
      <c r="I100" s="120" t="s">
        <v>104</v>
      </c>
      <c r="J100" s="120" t="s">
        <v>104</v>
      </c>
      <c r="K100" s="120" t="s">
        <v>104</v>
      </c>
      <c r="L100" s="120" t="s">
        <v>104</v>
      </c>
      <c r="M100" s="120" t="s">
        <v>104</v>
      </c>
      <c r="N100" s="132"/>
      <c r="O100" s="132"/>
      <c r="P100" s="120" t="s">
        <v>104</v>
      </c>
      <c r="Q100" s="120" t="s">
        <v>104</v>
      </c>
      <c r="R100" s="136"/>
      <c r="S100" s="136"/>
    </row>
    <row r="101" spans="1:22" ht="20.25" customHeight="1">
      <c r="A101" s="225"/>
      <c r="B101" s="226"/>
      <c r="C101" s="124" t="s">
        <v>175</v>
      </c>
      <c r="D101" s="125" t="s">
        <v>101</v>
      </c>
      <c r="E101" s="120"/>
      <c r="F101" s="121">
        <v>2</v>
      </c>
      <c r="G101" s="164">
        <f t="shared" ref="G101:G104" si="101">((E101*8)+(F101*4))/12</f>
        <v>0.66666666666666663</v>
      </c>
      <c r="H101" s="120">
        <v>2</v>
      </c>
      <c r="I101" s="120">
        <v>2</v>
      </c>
      <c r="J101" s="132">
        <f>K101</f>
        <v>89075.19</v>
      </c>
      <c r="K101" s="136">
        <v>89075.19</v>
      </c>
      <c r="L101" s="120" t="s">
        <v>104</v>
      </c>
      <c r="M101" s="120" t="s">
        <v>104</v>
      </c>
      <c r="N101" s="132">
        <f>O101</f>
        <v>59383.46</v>
      </c>
      <c r="O101" s="132">
        <f>G101*K101</f>
        <v>59383.46</v>
      </c>
      <c r="P101" s="120" t="s">
        <v>104</v>
      </c>
      <c r="Q101" s="120" t="s">
        <v>104</v>
      </c>
      <c r="R101" s="136">
        <f>H101*K101</f>
        <v>178150.38</v>
      </c>
      <c r="S101" s="136">
        <f>I101*K101</f>
        <v>178150.38</v>
      </c>
    </row>
    <row r="102" spans="1:22" ht="21" customHeight="1">
      <c r="A102" s="225"/>
      <c r="B102" s="226"/>
      <c r="C102" s="124" t="s">
        <v>177</v>
      </c>
      <c r="D102" s="125" t="s">
        <v>101</v>
      </c>
      <c r="E102" s="120"/>
      <c r="F102" s="121">
        <v>1</v>
      </c>
      <c r="G102" s="164">
        <f t="shared" si="101"/>
        <v>0.33333333333333331</v>
      </c>
      <c r="H102" s="120">
        <v>1</v>
      </c>
      <c r="I102" s="120">
        <v>1</v>
      </c>
      <c r="J102" s="132">
        <f t="shared" ref="J102:J103" si="102">K102</f>
        <v>256522.21</v>
      </c>
      <c r="K102" s="136">
        <v>256522.21</v>
      </c>
      <c r="L102" s="120" t="s">
        <v>104</v>
      </c>
      <c r="M102" s="120" t="s">
        <v>104</v>
      </c>
      <c r="N102" s="132">
        <f t="shared" ref="N102:N103" si="103">O102</f>
        <v>85507.403333333321</v>
      </c>
      <c r="O102" s="132">
        <f>G102*K102</f>
        <v>85507.403333333321</v>
      </c>
      <c r="P102" s="120" t="s">
        <v>104</v>
      </c>
      <c r="Q102" s="120" t="s">
        <v>104</v>
      </c>
      <c r="R102" s="136">
        <f t="shared" ref="R102:R103" si="104">H102*K102</f>
        <v>256522.21</v>
      </c>
      <c r="S102" s="136">
        <f t="shared" ref="S102:S103" si="105">I102*K102</f>
        <v>256522.21</v>
      </c>
    </row>
    <row r="103" spans="1:22" ht="21" customHeight="1">
      <c r="A103" s="225"/>
      <c r="B103" s="226"/>
      <c r="C103" s="124" t="s">
        <v>179</v>
      </c>
      <c r="D103" s="125" t="s">
        <v>101</v>
      </c>
      <c r="E103" s="121">
        <v>1</v>
      </c>
      <c r="F103" s="121">
        <v>3</v>
      </c>
      <c r="G103" s="164">
        <f t="shared" si="101"/>
        <v>1.6666666666666667</v>
      </c>
      <c r="H103" s="121">
        <v>3</v>
      </c>
      <c r="I103" s="121">
        <v>3</v>
      </c>
      <c r="J103" s="132">
        <f t="shared" si="102"/>
        <v>22724.03</v>
      </c>
      <c r="K103" s="136">
        <v>22724.03</v>
      </c>
      <c r="L103" s="120" t="s">
        <v>104</v>
      </c>
      <c r="M103" s="120" t="s">
        <v>104</v>
      </c>
      <c r="N103" s="132">
        <f t="shared" si="103"/>
        <v>37873.383333333331</v>
      </c>
      <c r="O103" s="132">
        <f>G103*K103</f>
        <v>37873.383333333331</v>
      </c>
      <c r="P103" s="120" t="s">
        <v>104</v>
      </c>
      <c r="Q103" s="120" t="s">
        <v>104</v>
      </c>
      <c r="R103" s="136">
        <f t="shared" si="104"/>
        <v>68172.09</v>
      </c>
      <c r="S103" s="136">
        <f t="shared" si="105"/>
        <v>68172.09</v>
      </c>
    </row>
    <row r="104" spans="1:22" ht="120">
      <c r="A104" s="225"/>
      <c r="B104" s="226"/>
      <c r="C104" s="122" t="s">
        <v>105</v>
      </c>
      <c r="D104" s="125" t="s">
        <v>101</v>
      </c>
      <c r="E104" s="121"/>
      <c r="F104" s="121">
        <v>2</v>
      </c>
      <c r="G104" s="164">
        <f t="shared" si="101"/>
        <v>0.66666666666666663</v>
      </c>
      <c r="H104" s="121">
        <v>2</v>
      </c>
      <c r="I104" s="121">
        <v>2</v>
      </c>
      <c r="J104" s="132">
        <f>K104</f>
        <v>146346.16</v>
      </c>
      <c r="K104" s="134">
        <f>145176.96+1169.2</f>
        <v>146346.16</v>
      </c>
      <c r="L104" s="131">
        <v>3857.41</v>
      </c>
      <c r="M104" s="133">
        <v>15921.15</v>
      </c>
      <c r="N104" s="132">
        <f>SUM(O104:Q104)</f>
        <v>110749.81333333332</v>
      </c>
      <c r="O104" s="132">
        <f>G104*K104</f>
        <v>97564.106666666659</v>
      </c>
      <c r="P104" s="134">
        <f>G104*L104</f>
        <v>2571.6066666666666</v>
      </c>
      <c r="Q104" s="132">
        <f>G104*M104</f>
        <v>10614.099999999999</v>
      </c>
      <c r="R104" s="136">
        <f>H104*K104</f>
        <v>292692.32</v>
      </c>
      <c r="S104" s="136">
        <f>I104*K104</f>
        <v>292692.32</v>
      </c>
    </row>
    <row r="105" spans="1:22">
      <c r="A105" s="225"/>
      <c r="B105" s="178"/>
      <c r="C105" s="127" t="s">
        <v>106</v>
      </c>
      <c r="D105" s="125"/>
      <c r="E105" s="121">
        <f>E99+E104</f>
        <v>227</v>
      </c>
      <c r="F105" s="121">
        <f>F99+F104</f>
        <v>221</v>
      </c>
      <c r="G105" s="120">
        <f t="shared" ref="G105:G106" si="106">((E105*8)+(F105*4))/12</f>
        <v>225</v>
      </c>
      <c r="H105" s="121">
        <f t="shared" ref="H105:I105" si="107">H99+H104</f>
        <v>221</v>
      </c>
      <c r="I105" s="121">
        <f t="shared" si="107"/>
        <v>221</v>
      </c>
      <c r="J105" s="120" t="s">
        <v>104</v>
      </c>
      <c r="K105" s="120" t="s">
        <v>104</v>
      </c>
      <c r="L105" s="120" t="s">
        <v>104</v>
      </c>
      <c r="M105" s="120" t="s">
        <v>104</v>
      </c>
      <c r="N105" s="135">
        <f>SUM(N99:N104)</f>
        <v>12428902</v>
      </c>
      <c r="O105" s="135">
        <f t="shared" ref="O105:S105" si="108">SUM(O99:O104)</f>
        <v>7978726</v>
      </c>
      <c r="P105" s="135">
        <f t="shared" si="108"/>
        <v>867917.25</v>
      </c>
      <c r="Q105" s="135">
        <f t="shared" si="108"/>
        <v>3582258.75</v>
      </c>
      <c r="R105" s="135">
        <f t="shared" si="108"/>
        <v>12642416.460000003</v>
      </c>
      <c r="S105" s="135">
        <f t="shared" si="108"/>
        <v>12642416.460000003</v>
      </c>
    </row>
    <row r="106" spans="1:22" ht="90">
      <c r="A106" s="225"/>
      <c r="B106" s="226" t="s">
        <v>108</v>
      </c>
      <c r="C106" s="122" t="s">
        <v>100</v>
      </c>
      <c r="D106" s="123" t="s">
        <v>101</v>
      </c>
      <c r="E106" s="121">
        <v>43</v>
      </c>
      <c r="F106" s="121">
        <v>46</v>
      </c>
      <c r="G106" s="120">
        <f t="shared" si="106"/>
        <v>44</v>
      </c>
      <c r="H106" s="121">
        <v>46</v>
      </c>
      <c r="I106" s="121">
        <v>46</v>
      </c>
      <c r="J106" s="175">
        <f>SUM(K106:M106)</f>
        <v>60807.1</v>
      </c>
      <c r="K106" s="175">
        <f>39660.87+1367.67</f>
        <v>41028.54</v>
      </c>
      <c r="L106" s="131">
        <v>3857.41</v>
      </c>
      <c r="M106" s="133">
        <v>15921.15</v>
      </c>
      <c r="N106" s="134">
        <f>SUM(O106:Q106)</f>
        <v>2675512.4</v>
      </c>
      <c r="O106" s="134">
        <f>G106*K106</f>
        <v>1805255.76</v>
      </c>
      <c r="P106" s="134">
        <f>G106*L106</f>
        <v>169726.03999999998</v>
      </c>
      <c r="Q106" s="134">
        <f>G106*M106</f>
        <v>700530.6</v>
      </c>
      <c r="R106" s="136">
        <f t="shared" si="97"/>
        <v>2797126.6</v>
      </c>
      <c r="S106" s="136">
        <f t="shared" si="98"/>
        <v>2797126.6</v>
      </c>
    </row>
    <row r="107" spans="1:22" ht="120">
      <c r="A107" s="225"/>
      <c r="B107" s="226"/>
      <c r="C107" s="124" t="s">
        <v>102</v>
      </c>
      <c r="D107" s="125" t="s">
        <v>101</v>
      </c>
      <c r="E107" s="120" t="s">
        <v>104</v>
      </c>
      <c r="F107" s="120" t="s">
        <v>104</v>
      </c>
      <c r="G107" s="120" t="s">
        <v>104</v>
      </c>
      <c r="H107" s="120" t="s">
        <v>104</v>
      </c>
      <c r="I107" s="120" t="s">
        <v>104</v>
      </c>
      <c r="J107" s="120" t="s">
        <v>104</v>
      </c>
      <c r="K107" s="120" t="s">
        <v>104</v>
      </c>
      <c r="L107" s="120" t="s">
        <v>104</v>
      </c>
      <c r="M107" s="120" t="s">
        <v>104</v>
      </c>
      <c r="N107" s="132"/>
      <c r="O107" s="132"/>
      <c r="P107" s="120" t="s">
        <v>104</v>
      </c>
      <c r="Q107" s="120" t="s">
        <v>104</v>
      </c>
      <c r="R107" s="136"/>
      <c r="S107" s="136"/>
    </row>
    <row r="108" spans="1:22" ht="120">
      <c r="A108" s="225"/>
      <c r="B108" s="226"/>
      <c r="C108" s="122" t="s">
        <v>105</v>
      </c>
      <c r="D108" s="125" t="s">
        <v>101</v>
      </c>
      <c r="E108" s="121"/>
      <c r="F108" s="121"/>
      <c r="G108" s="121"/>
      <c r="H108" s="121"/>
      <c r="I108" s="121"/>
      <c r="J108" s="134"/>
      <c r="K108" s="134"/>
      <c r="L108" s="135"/>
      <c r="M108" s="134"/>
      <c r="N108" s="134"/>
      <c r="O108" s="134"/>
      <c r="P108" s="134"/>
      <c r="Q108" s="134"/>
      <c r="R108" s="136">
        <f t="shared" si="97"/>
        <v>0</v>
      </c>
      <c r="S108" s="136">
        <f t="shared" si="98"/>
        <v>0</v>
      </c>
    </row>
    <row r="109" spans="1:22">
      <c r="A109" s="225"/>
      <c r="B109" s="178"/>
      <c r="C109" s="127" t="s">
        <v>106</v>
      </c>
      <c r="D109" s="125"/>
      <c r="E109" s="121">
        <f>SUM(E106:E108)</f>
        <v>43</v>
      </c>
      <c r="F109" s="121">
        <f>SUM(F106:F108)</f>
        <v>46</v>
      </c>
      <c r="G109" s="120">
        <f t="shared" ref="G109:G140" si="109">((E109*8)+(F109*4))/12</f>
        <v>44</v>
      </c>
      <c r="H109" s="121">
        <f t="shared" ref="H109:S109" si="110">SUM(H106:H108)</f>
        <v>46</v>
      </c>
      <c r="I109" s="121">
        <f t="shared" si="110"/>
        <v>46</v>
      </c>
      <c r="J109" s="134" t="s">
        <v>104</v>
      </c>
      <c r="K109" s="134" t="s">
        <v>104</v>
      </c>
      <c r="L109" s="134" t="s">
        <v>104</v>
      </c>
      <c r="M109" s="134" t="s">
        <v>104</v>
      </c>
      <c r="N109" s="135">
        <f t="shared" si="110"/>
        <v>2675512.4</v>
      </c>
      <c r="O109" s="135">
        <f t="shared" si="110"/>
        <v>1805255.76</v>
      </c>
      <c r="P109" s="135">
        <f t="shared" si="110"/>
        <v>169726.03999999998</v>
      </c>
      <c r="Q109" s="135">
        <f t="shared" si="110"/>
        <v>700530.6</v>
      </c>
      <c r="R109" s="135">
        <f t="shared" si="110"/>
        <v>2797126.6</v>
      </c>
      <c r="S109" s="135">
        <f t="shared" si="110"/>
        <v>2797126.6</v>
      </c>
    </row>
    <row r="110" spans="1:22" ht="165">
      <c r="A110" s="225"/>
      <c r="B110" s="227" t="s">
        <v>109</v>
      </c>
      <c r="C110" s="122" t="s">
        <v>110</v>
      </c>
      <c r="D110" s="125" t="s">
        <v>101</v>
      </c>
      <c r="E110" s="121">
        <v>300</v>
      </c>
      <c r="F110" s="121">
        <v>300</v>
      </c>
      <c r="G110" s="120">
        <f t="shared" si="109"/>
        <v>300</v>
      </c>
      <c r="H110" s="121">
        <v>300</v>
      </c>
      <c r="I110" s="121">
        <v>300</v>
      </c>
      <c r="J110" s="136">
        <f>K110</f>
        <v>2770.76</v>
      </c>
      <c r="K110" s="136">
        <v>2770.76</v>
      </c>
      <c r="L110" s="134" t="s">
        <v>104</v>
      </c>
      <c r="M110" s="134" t="s">
        <v>104</v>
      </c>
      <c r="N110" s="134">
        <f>SUM(O110:Q110)</f>
        <v>831228.00000000012</v>
      </c>
      <c r="O110" s="134">
        <f>K110*E110</f>
        <v>831228.00000000012</v>
      </c>
      <c r="P110" s="134" t="s">
        <v>104</v>
      </c>
      <c r="Q110" s="134" t="s">
        <v>104</v>
      </c>
      <c r="R110" s="136">
        <f t="shared" si="97"/>
        <v>831228.00000000012</v>
      </c>
      <c r="S110" s="136">
        <f t="shared" si="98"/>
        <v>831228.00000000012</v>
      </c>
    </row>
    <row r="111" spans="1:22" ht="180">
      <c r="A111" s="225"/>
      <c r="B111" s="227"/>
      <c r="C111" s="122" t="s">
        <v>180</v>
      </c>
      <c r="D111" s="125" t="s">
        <v>101</v>
      </c>
      <c r="E111" s="121">
        <v>286</v>
      </c>
      <c r="F111" s="121">
        <v>286</v>
      </c>
      <c r="G111" s="120">
        <f t="shared" si="109"/>
        <v>286</v>
      </c>
      <c r="H111" s="121">
        <v>286</v>
      </c>
      <c r="I111" s="121">
        <v>286</v>
      </c>
      <c r="J111" s="136">
        <v>3829.24</v>
      </c>
      <c r="K111" s="136">
        <f>J111</f>
        <v>3829.24</v>
      </c>
      <c r="L111" s="134" t="s">
        <v>104</v>
      </c>
      <c r="M111" s="134" t="s">
        <v>104</v>
      </c>
      <c r="N111" s="134">
        <f>SUM(O111:Q111)</f>
        <v>1095162.6399999999</v>
      </c>
      <c r="O111" s="134">
        <f>G111*J111</f>
        <v>1095162.6399999999</v>
      </c>
      <c r="P111" s="134" t="s">
        <v>104</v>
      </c>
      <c r="Q111" s="134" t="s">
        <v>104</v>
      </c>
      <c r="R111" s="136">
        <f t="shared" si="97"/>
        <v>1095162.6399999999</v>
      </c>
      <c r="S111" s="136">
        <f t="shared" si="98"/>
        <v>1095162.6399999999</v>
      </c>
    </row>
    <row r="112" spans="1:22">
      <c r="A112" s="225"/>
      <c r="B112" s="130"/>
      <c r="C112" s="127" t="s">
        <v>106</v>
      </c>
      <c r="D112" s="130"/>
      <c r="E112" s="121">
        <f>SUM(E110:E111)</f>
        <v>586</v>
      </c>
      <c r="F112" s="121">
        <f>SUM(F110:F111)</f>
        <v>586</v>
      </c>
      <c r="G112" s="120">
        <f t="shared" si="109"/>
        <v>586</v>
      </c>
      <c r="H112" s="121">
        <f t="shared" ref="H112:S112" si="111">SUM(H110:H111)</f>
        <v>586</v>
      </c>
      <c r="I112" s="121">
        <f t="shared" si="111"/>
        <v>586</v>
      </c>
      <c r="J112" s="134" t="s">
        <v>104</v>
      </c>
      <c r="K112" s="134" t="s">
        <v>104</v>
      </c>
      <c r="L112" s="134" t="s">
        <v>104</v>
      </c>
      <c r="M112" s="135">
        <f t="shared" si="111"/>
        <v>0</v>
      </c>
      <c r="N112" s="135">
        <f t="shared" si="111"/>
        <v>1926390.6400000001</v>
      </c>
      <c r="O112" s="135">
        <f t="shared" si="111"/>
        <v>1926390.6400000001</v>
      </c>
      <c r="P112" s="135">
        <f t="shared" si="111"/>
        <v>0</v>
      </c>
      <c r="Q112" s="135">
        <f t="shared" si="111"/>
        <v>0</v>
      </c>
      <c r="R112" s="135">
        <f t="shared" si="111"/>
        <v>1926390.6400000001</v>
      </c>
      <c r="S112" s="135">
        <f t="shared" si="111"/>
        <v>1926390.6400000001</v>
      </c>
    </row>
    <row r="113" spans="1:19">
      <c r="A113" s="225"/>
      <c r="B113" s="165" t="s">
        <v>112</v>
      </c>
      <c r="C113" s="165"/>
      <c r="D113" s="130"/>
      <c r="E113" s="166"/>
      <c r="F113" s="166"/>
      <c r="G113" s="166"/>
      <c r="H113" s="166"/>
      <c r="I113" s="166"/>
      <c r="J113" s="169"/>
      <c r="K113" s="169"/>
      <c r="L113" s="167"/>
      <c r="M113" s="167"/>
      <c r="N113" s="167">
        <f>SUM(O113:Q113)</f>
        <v>27873470.723333333</v>
      </c>
      <c r="O113" s="167">
        <f>O98+O105+O109+O112</f>
        <v>17852333.656666666</v>
      </c>
      <c r="P113" s="167">
        <f t="shared" ref="P113:S113" si="112">P98+P105+P109+P112</f>
        <v>1954421.0666666667</v>
      </c>
      <c r="Q113" s="167">
        <f t="shared" si="112"/>
        <v>8066716</v>
      </c>
      <c r="R113" s="167">
        <f t="shared" si="112"/>
        <v>29385587.670000006</v>
      </c>
      <c r="S113" s="167">
        <f t="shared" si="112"/>
        <v>29385587.670000006</v>
      </c>
    </row>
    <row r="114" spans="1:19" ht="90">
      <c r="A114" s="225" t="s">
        <v>113</v>
      </c>
      <c r="B114" s="226" t="s">
        <v>99</v>
      </c>
      <c r="C114" s="122" t="s">
        <v>100</v>
      </c>
      <c r="D114" s="123" t="s">
        <v>101</v>
      </c>
      <c r="E114" s="120">
        <v>204</v>
      </c>
      <c r="F114" s="120">
        <v>190</v>
      </c>
      <c r="G114" s="120">
        <f t="shared" si="109"/>
        <v>199.33333333333334</v>
      </c>
      <c r="H114" s="120">
        <v>190</v>
      </c>
      <c r="I114" s="120">
        <v>190</v>
      </c>
      <c r="J114" s="175">
        <f>SUM(K114:M114)</f>
        <v>43059.57</v>
      </c>
      <c r="K114" s="175">
        <f>22328.93+952.08</f>
        <v>23281.010000000002</v>
      </c>
      <c r="L114" s="131">
        <v>3857.41</v>
      </c>
      <c r="M114" s="131">
        <v>15921.15</v>
      </c>
      <c r="N114" s="132">
        <f>SUM(O114:Q114)</f>
        <v>8583207.620000001</v>
      </c>
      <c r="O114" s="132">
        <f>G114*K114</f>
        <v>4640681.3266666671</v>
      </c>
      <c r="P114" s="132">
        <f>G114*L114</f>
        <v>768910.39333333331</v>
      </c>
      <c r="Q114" s="136">
        <f>G114*M114</f>
        <v>3173615.9</v>
      </c>
      <c r="R114" s="136">
        <f t="shared" si="97"/>
        <v>8181318.2999999998</v>
      </c>
      <c r="S114" s="136">
        <f t="shared" si="98"/>
        <v>8181318.2999999998</v>
      </c>
    </row>
    <row r="115" spans="1:19" ht="135">
      <c r="A115" s="225"/>
      <c r="B115" s="226"/>
      <c r="C115" s="124" t="s">
        <v>173</v>
      </c>
      <c r="D115" s="125" t="s">
        <v>101</v>
      </c>
      <c r="E115" s="120" t="s">
        <v>104</v>
      </c>
      <c r="F115" s="120" t="s">
        <v>104</v>
      </c>
      <c r="G115" s="120" t="s">
        <v>104</v>
      </c>
      <c r="H115" s="120" t="s">
        <v>104</v>
      </c>
      <c r="I115" s="120" t="s">
        <v>104</v>
      </c>
      <c r="J115" s="120" t="s">
        <v>104</v>
      </c>
      <c r="K115" s="120" t="s">
        <v>104</v>
      </c>
      <c r="L115" s="120" t="s">
        <v>104</v>
      </c>
      <c r="M115" s="120" t="s">
        <v>104</v>
      </c>
      <c r="N115" s="132"/>
      <c r="O115" s="132"/>
      <c r="P115" s="120" t="s">
        <v>104</v>
      </c>
      <c r="Q115" s="120" t="s">
        <v>104</v>
      </c>
      <c r="R115" s="136"/>
      <c r="S115" s="136"/>
    </row>
    <row r="116" spans="1:19">
      <c r="A116" s="225"/>
      <c r="B116" s="226"/>
      <c r="C116" s="124" t="s">
        <v>181</v>
      </c>
      <c r="D116" s="125" t="s">
        <v>101</v>
      </c>
      <c r="E116" s="120"/>
      <c r="F116" s="120">
        <v>5</v>
      </c>
      <c r="G116" s="164">
        <f t="shared" si="109"/>
        <v>1.6666666666666667</v>
      </c>
      <c r="H116" s="120">
        <v>5</v>
      </c>
      <c r="I116" s="120">
        <v>5</v>
      </c>
      <c r="J116" s="136">
        <f>K116</f>
        <v>24684.9</v>
      </c>
      <c r="K116" s="136">
        <v>24684.9</v>
      </c>
      <c r="L116" s="120" t="s">
        <v>104</v>
      </c>
      <c r="M116" s="120" t="s">
        <v>104</v>
      </c>
      <c r="N116" s="132">
        <f>O116</f>
        <v>41141.500000000007</v>
      </c>
      <c r="O116" s="132">
        <f>G116*K116</f>
        <v>41141.500000000007</v>
      </c>
      <c r="P116" s="120" t="s">
        <v>104</v>
      </c>
      <c r="Q116" s="120" t="s">
        <v>104</v>
      </c>
      <c r="R116" s="136">
        <f>H116*K116</f>
        <v>123424.5</v>
      </c>
      <c r="S116" s="136">
        <f>I116*K116</f>
        <v>123424.5</v>
      </c>
    </row>
    <row r="117" spans="1:19">
      <c r="A117" s="225"/>
      <c r="B117" s="226"/>
      <c r="C117" s="124" t="s">
        <v>176</v>
      </c>
      <c r="D117" s="125" t="s">
        <v>101</v>
      </c>
      <c r="E117" s="120"/>
      <c r="F117" s="120">
        <v>1</v>
      </c>
      <c r="G117" s="164">
        <f t="shared" si="109"/>
        <v>0.33333333333333331</v>
      </c>
      <c r="H117" s="120">
        <v>1</v>
      </c>
      <c r="I117" s="120">
        <v>1</v>
      </c>
      <c r="J117" s="136">
        <f t="shared" ref="J117:J121" si="113">K117</f>
        <v>63972.15</v>
      </c>
      <c r="K117" s="136">
        <v>63972.15</v>
      </c>
      <c r="L117" s="120" t="s">
        <v>104</v>
      </c>
      <c r="M117" s="120" t="s">
        <v>104</v>
      </c>
      <c r="N117" s="132">
        <f t="shared" ref="N117:N121" si="114">O117</f>
        <v>21324.05</v>
      </c>
      <c r="O117" s="132">
        <f t="shared" ref="O117:O121" si="115">G117*K117</f>
        <v>21324.05</v>
      </c>
      <c r="P117" s="120" t="s">
        <v>104</v>
      </c>
      <c r="Q117" s="120" t="s">
        <v>104</v>
      </c>
      <c r="R117" s="136">
        <f t="shared" ref="R117:R121" si="116">H117*K117</f>
        <v>63972.15</v>
      </c>
      <c r="S117" s="136">
        <f t="shared" ref="S117:S121" si="117">I117*K117</f>
        <v>63972.15</v>
      </c>
    </row>
    <row r="118" spans="1:19">
      <c r="A118" s="225"/>
      <c r="B118" s="226"/>
      <c r="C118" s="124" t="s">
        <v>177</v>
      </c>
      <c r="D118" s="125" t="s">
        <v>101</v>
      </c>
      <c r="E118" s="120"/>
      <c r="F118" s="120">
        <v>1</v>
      </c>
      <c r="G118" s="164">
        <f t="shared" si="109"/>
        <v>0.33333333333333331</v>
      </c>
      <c r="H118" s="120">
        <v>1</v>
      </c>
      <c r="I118" s="120">
        <v>1</v>
      </c>
      <c r="J118" s="136">
        <f t="shared" si="113"/>
        <v>168582.97</v>
      </c>
      <c r="K118" s="136">
        <v>168582.97</v>
      </c>
      <c r="L118" s="120" t="s">
        <v>104</v>
      </c>
      <c r="M118" s="120" t="s">
        <v>104</v>
      </c>
      <c r="N118" s="132">
        <f t="shared" si="114"/>
        <v>56194.323333333334</v>
      </c>
      <c r="O118" s="132">
        <f t="shared" si="115"/>
        <v>56194.323333333334</v>
      </c>
      <c r="P118" s="120" t="s">
        <v>104</v>
      </c>
      <c r="Q118" s="120" t="s">
        <v>104</v>
      </c>
      <c r="R118" s="136">
        <f t="shared" si="116"/>
        <v>168582.97</v>
      </c>
      <c r="S118" s="136">
        <f t="shared" si="117"/>
        <v>168582.97</v>
      </c>
    </row>
    <row r="119" spans="1:19">
      <c r="A119" s="225"/>
      <c r="B119" s="226"/>
      <c r="C119" s="124" t="s">
        <v>178</v>
      </c>
      <c r="D119" s="125" t="s">
        <v>101</v>
      </c>
      <c r="E119" s="120"/>
      <c r="F119" s="120">
        <v>1</v>
      </c>
      <c r="G119" s="164">
        <f t="shared" si="109"/>
        <v>0.33333333333333331</v>
      </c>
      <c r="H119" s="120">
        <v>1</v>
      </c>
      <c r="I119" s="120">
        <v>1</v>
      </c>
      <c r="J119" s="136">
        <f t="shared" si="113"/>
        <v>172299.06</v>
      </c>
      <c r="K119" s="136">
        <v>172299.06</v>
      </c>
      <c r="L119" s="120" t="s">
        <v>104</v>
      </c>
      <c r="M119" s="120" t="s">
        <v>104</v>
      </c>
      <c r="N119" s="132">
        <f t="shared" si="114"/>
        <v>57433.02</v>
      </c>
      <c r="O119" s="132">
        <f t="shared" si="115"/>
        <v>57433.02</v>
      </c>
      <c r="P119" s="120" t="s">
        <v>104</v>
      </c>
      <c r="Q119" s="120" t="s">
        <v>104</v>
      </c>
      <c r="R119" s="136">
        <f t="shared" si="116"/>
        <v>172299.06</v>
      </c>
      <c r="S119" s="136">
        <f t="shared" si="117"/>
        <v>172299.06</v>
      </c>
    </row>
    <row r="120" spans="1:19">
      <c r="A120" s="225"/>
      <c r="B120" s="226"/>
      <c r="C120" s="124" t="s">
        <v>183</v>
      </c>
      <c r="D120" s="125" t="s">
        <v>101</v>
      </c>
      <c r="E120" s="120"/>
      <c r="F120" s="120">
        <v>1</v>
      </c>
      <c r="G120" s="164">
        <f t="shared" si="109"/>
        <v>0.33333333333333331</v>
      </c>
      <c r="H120" s="120">
        <v>1</v>
      </c>
      <c r="I120" s="120">
        <v>1</v>
      </c>
      <c r="J120" s="136">
        <f t="shared" si="113"/>
        <v>95991.28</v>
      </c>
      <c r="K120" s="136">
        <v>95991.28</v>
      </c>
      <c r="L120" s="120" t="s">
        <v>104</v>
      </c>
      <c r="M120" s="120" t="s">
        <v>104</v>
      </c>
      <c r="N120" s="132">
        <f t="shared" si="114"/>
        <v>31997.093333333331</v>
      </c>
      <c r="O120" s="132">
        <f t="shared" si="115"/>
        <v>31997.093333333331</v>
      </c>
      <c r="P120" s="120" t="s">
        <v>104</v>
      </c>
      <c r="Q120" s="120" t="s">
        <v>104</v>
      </c>
      <c r="R120" s="136">
        <f t="shared" si="116"/>
        <v>95991.28</v>
      </c>
      <c r="S120" s="136">
        <f t="shared" si="117"/>
        <v>95991.28</v>
      </c>
    </row>
    <row r="121" spans="1:19">
      <c r="A121" s="225"/>
      <c r="B121" s="226"/>
      <c r="C121" s="124" t="s">
        <v>179</v>
      </c>
      <c r="D121" s="125" t="s">
        <v>101</v>
      </c>
      <c r="E121" s="120">
        <v>3</v>
      </c>
      <c r="F121" s="120">
        <v>2</v>
      </c>
      <c r="G121" s="164">
        <f t="shared" si="109"/>
        <v>2.6666666666666665</v>
      </c>
      <c r="H121" s="120">
        <v>2</v>
      </c>
      <c r="I121" s="120">
        <v>2</v>
      </c>
      <c r="J121" s="136">
        <f t="shared" si="113"/>
        <v>22724.03</v>
      </c>
      <c r="K121" s="136">
        <v>22724.03</v>
      </c>
      <c r="L121" s="120" t="s">
        <v>104</v>
      </c>
      <c r="M121" s="120" t="s">
        <v>104</v>
      </c>
      <c r="N121" s="132">
        <f t="shared" si="114"/>
        <v>60597.41333333333</v>
      </c>
      <c r="O121" s="132">
        <f t="shared" si="115"/>
        <v>60597.41333333333</v>
      </c>
      <c r="P121" s="120" t="s">
        <v>104</v>
      </c>
      <c r="Q121" s="120" t="s">
        <v>104</v>
      </c>
      <c r="R121" s="136">
        <f t="shared" si="116"/>
        <v>45448.06</v>
      </c>
      <c r="S121" s="136">
        <f t="shared" si="117"/>
        <v>45448.06</v>
      </c>
    </row>
    <row r="122" spans="1:19" ht="120">
      <c r="A122" s="225"/>
      <c r="B122" s="226"/>
      <c r="C122" s="122" t="s">
        <v>105</v>
      </c>
      <c r="D122" s="125" t="s">
        <v>101</v>
      </c>
      <c r="E122" s="120"/>
      <c r="F122" s="120">
        <v>2</v>
      </c>
      <c r="G122" s="164">
        <f t="shared" si="109"/>
        <v>0.66666666666666663</v>
      </c>
      <c r="H122" s="120">
        <v>2</v>
      </c>
      <c r="I122" s="120">
        <v>2</v>
      </c>
      <c r="J122" s="136">
        <f>SUM(K122:M122)</f>
        <v>137159.02000000002</v>
      </c>
      <c r="K122" s="136">
        <f>116428.38+952.08</f>
        <v>117380.46</v>
      </c>
      <c r="L122" s="133">
        <v>3857.41</v>
      </c>
      <c r="M122" s="133">
        <v>15921.15</v>
      </c>
      <c r="N122" s="132">
        <f>SUM(O122:Q122)</f>
        <v>91439.346666666679</v>
      </c>
      <c r="O122" s="132">
        <f>G122*K122</f>
        <v>78253.64</v>
      </c>
      <c r="P122" s="132">
        <f>G122*L122</f>
        <v>2571.6066666666666</v>
      </c>
      <c r="Q122" s="136">
        <f>G122*M122</f>
        <v>10614.099999999999</v>
      </c>
      <c r="R122" s="136">
        <f t="shared" si="97"/>
        <v>274318.04000000004</v>
      </c>
      <c r="S122" s="136">
        <f t="shared" si="98"/>
        <v>274318.04000000004</v>
      </c>
    </row>
    <row r="123" spans="1:19">
      <c r="A123" s="225"/>
      <c r="B123" s="226"/>
      <c r="C123" s="127" t="s">
        <v>106</v>
      </c>
      <c r="D123" s="128"/>
      <c r="E123" s="120">
        <f>E114+E122</f>
        <v>204</v>
      </c>
      <c r="F123" s="120">
        <f t="shared" ref="F123:G123" si="118">F114+F122</f>
        <v>192</v>
      </c>
      <c r="G123" s="120">
        <f t="shared" si="118"/>
        <v>200</v>
      </c>
      <c r="H123" s="120">
        <f t="shared" ref="H123" si="119">H114+H122</f>
        <v>192</v>
      </c>
      <c r="I123" s="120">
        <f t="shared" ref="I123" si="120">I114+I122</f>
        <v>192</v>
      </c>
      <c r="J123" s="132" t="s">
        <v>104</v>
      </c>
      <c r="K123" s="132" t="s">
        <v>104</v>
      </c>
      <c r="L123" s="132" t="s">
        <v>104</v>
      </c>
      <c r="M123" s="132" t="s">
        <v>104</v>
      </c>
      <c r="N123" s="132">
        <f t="shared" ref="N123:Q123" si="121">SUM(N114:N122)</f>
        <v>8943334.3666666709</v>
      </c>
      <c r="O123" s="132">
        <f t="shared" si="121"/>
        <v>4987622.3666666662</v>
      </c>
      <c r="P123" s="132">
        <f>SUM(P114:P122)</f>
        <v>771482</v>
      </c>
      <c r="Q123" s="132">
        <f t="shared" si="121"/>
        <v>3184230</v>
      </c>
      <c r="R123" s="136">
        <f>SUM(R114:R122)</f>
        <v>9125354.3599999994</v>
      </c>
      <c r="S123" s="136">
        <f>SUM(S114:S122)</f>
        <v>9125354.3599999994</v>
      </c>
    </row>
    <row r="124" spans="1:19" ht="90">
      <c r="A124" s="225"/>
      <c r="B124" s="226" t="s">
        <v>107</v>
      </c>
      <c r="C124" s="122" t="s">
        <v>100</v>
      </c>
      <c r="D124" s="123" t="s">
        <v>101</v>
      </c>
      <c r="E124" s="120">
        <v>240</v>
      </c>
      <c r="F124" s="120">
        <v>235</v>
      </c>
      <c r="G124" s="164">
        <f t="shared" si="109"/>
        <v>238.33333333333334</v>
      </c>
      <c r="H124" s="120">
        <v>235</v>
      </c>
      <c r="I124" s="120">
        <v>235</v>
      </c>
      <c r="J124" s="175">
        <f>SUM(K124:M124)</f>
        <v>54095.340000000004</v>
      </c>
      <c r="K124" s="175">
        <f>33147.58+1169.2</f>
        <v>34316.78</v>
      </c>
      <c r="L124" s="131">
        <v>3857.41</v>
      </c>
      <c r="M124" s="133">
        <v>15921.15</v>
      </c>
      <c r="N124" s="132">
        <f>SUM(O124:Q124)</f>
        <v>12892722.699999999</v>
      </c>
      <c r="O124" s="132">
        <f>G124*K124</f>
        <v>8178832.5666666664</v>
      </c>
      <c r="P124" s="132">
        <f>G124*L124</f>
        <v>919349.3833333333</v>
      </c>
      <c r="Q124" s="132">
        <f>G124*M124</f>
        <v>3794540.75</v>
      </c>
      <c r="R124" s="136">
        <f t="shared" si="97"/>
        <v>12712404.9</v>
      </c>
      <c r="S124" s="136">
        <f t="shared" si="98"/>
        <v>12712404.9</v>
      </c>
    </row>
    <row r="125" spans="1:19" ht="120">
      <c r="A125" s="225"/>
      <c r="B125" s="226"/>
      <c r="C125" s="124" t="s">
        <v>102</v>
      </c>
      <c r="D125" s="125" t="s">
        <v>101</v>
      </c>
      <c r="E125" s="120" t="s">
        <v>104</v>
      </c>
      <c r="F125" s="120" t="s">
        <v>104</v>
      </c>
      <c r="G125" s="120" t="s">
        <v>104</v>
      </c>
      <c r="H125" s="120" t="s">
        <v>104</v>
      </c>
      <c r="I125" s="120" t="s">
        <v>104</v>
      </c>
      <c r="J125" s="120" t="s">
        <v>104</v>
      </c>
      <c r="K125" s="120" t="s">
        <v>104</v>
      </c>
      <c r="L125" s="120" t="s">
        <v>104</v>
      </c>
      <c r="M125" s="120" t="s">
        <v>104</v>
      </c>
      <c r="N125" s="132"/>
      <c r="O125" s="132"/>
      <c r="P125" s="120" t="s">
        <v>104</v>
      </c>
      <c r="Q125" s="120" t="s">
        <v>104</v>
      </c>
      <c r="R125" s="136"/>
      <c r="S125" s="136"/>
    </row>
    <row r="126" spans="1:19">
      <c r="A126" s="225"/>
      <c r="B126" s="226"/>
      <c r="C126" s="124" t="s">
        <v>181</v>
      </c>
      <c r="D126" s="125" t="s">
        <v>101</v>
      </c>
      <c r="E126" s="121"/>
      <c r="F126" s="121">
        <v>1</v>
      </c>
      <c r="G126" s="164">
        <f t="shared" si="109"/>
        <v>0.33333333333333331</v>
      </c>
      <c r="H126" s="121">
        <v>1</v>
      </c>
      <c r="I126" s="121">
        <v>1</v>
      </c>
      <c r="J126" s="136">
        <f>K126</f>
        <v>24684.9</v>
      </c>
      <c r="K126" s="136">
        <v>24684.9</v>
      </c>
      <c r="L126" s="120" t="s">
        <v>104</v>
      </c>
      <c r="M126" s="120" t="s">
        <v>104</v>
      </c>
      <c r="N126" s="132">
        <f>O126</f>
        <v>8228.2999999999993</v>
      </c>
      <c r="O126" s="132">
        <f>G126*K126</f>
        <v>8228.2999999999993</v>
      </c>
      <c r="P126" s="120" t="s">
        <v>104</v>
      </c>
      <c r="Q126" s="120" t="s">
        <v>104</v>
      </c>
      <c r="R126" s="136">
        <f>H126*K126</f>
        <v>24684.9</v>
      </c>
      <c r="S126" s="136">
        <f>I126*K126</f>
        <v>24684.9</v>
      </c>
    </row>
    <row r="127" spans="1:19">
      <c r="A127" s="225"/>
      <c r="B127" s="226"/>
      <c r="C127" s="124" t="s">
        <v>175</v>
      </c>
      <c r="D127" s="125" t="s">
        <v>101</v>
      </c>
      <c r="E127" s="121"/>
      <c r="F127" s="121">
        <v>1</v>
      </c>
      <c r="G127" s="164">
        <f t="shared" si="109"/>
        <v>0.33333333333333331</v>
      </c>
      <c r="H127" s="121">
        <v>1</v>
      </c>
      <c r="I127" s="121">
        <v>1</v>
      </c>
      <c r="J127" s="136">
        <f t="shared" ref="J127:J130" si="122">K127</f>
        <v>89075.19</v>
      </c>
      <c r="K127" s="136">
        <v>89075.19</v>
      </c>
      <c r="L127" s="120" t="s">
        <v>104</v>
      </c>
      <c r="M127" s="120" t="s">
        <v>104</v>
      </c>
      <c r="N127" s="132">
        <f t="shared" ref="N127:N130" si="123">O127</f>
        <v>29691.73</v>
      </c>
      <c r="O127" s="132">
        <f t="shared" ref="O127:O130" si="124">G127*K127</f>
        <v>29691.73</v>
      </c>
      <c r="P127" s="120" t="s">
        <v>104</v>
      </c>
      <c r="Q127" s="120" t="s">
        <v>104</v>
      </c>
      <c r="R127" s="136">
        <f t="shared" ref="R127:R130" si="125">H127*K127</f>
        <v>89075.19</v>
      </c>
      <c r="S127" s="136">
        <f t="shared" ref="S127:S130" si="126">I127*K127</f>
        <v>89075.19</v>
      </c>
    </row>
    <row r="128" spans="1:19">
      <c r="A128" s="225"/>
      <c r="B128" s="226"/>
      <c r="C128" s="124" t="s">
        <v>177</v>
      </c>
      <c r="D128" s="125" t="s">
        <v>101</v>
      </c>
      <c r="E128" s="121"/>
      <c r="F128" s="121">
        <v>1</v>
      </c>
      <c r="G128" s="164">
        <f t="shared" si="109"/>
        <v>0.33333333333333331</v>
      </c>
      <c r="H128" s="121">
        <v>1</v>
      </c>
      <c r="I128" s="121">
        <v>1</v>
      </c>
      <c r="J128" s="136">
        <f t="shared" si="122"/>
        <v>256522.21</v>
      </c>
      <c r="K128" s="136">
        <v>256522.21</v>
      </c>
      <c r="L128" s="120" t="s">
        <v>104</v>
      </c>
      <c r="M128" s="120" t="s">
        <v>104</v>
      </c>
      <c r="N128" s="132">
        <f t="shared" si="123"/>
        <v>85507.403333333321</v>
      </c>
      <c r="O128" s="132">
        <f t="shared" si="124"/>
        <v>85507.403333333321</v>
      </c>
      <c r="P128" s="120" t="s">
        <v>104</v>
      </c>
      <c r="Q128" s="120" t="s">
        <v>104</v>
      </c>
      <c r="R128" s="136">
        <f t="shared" si="125"/>
        <v>256522.21</v>
      </c>
      <c r="S128" s="136">
        <f t="shared" si="126"/>
        <v>256522.21</v>
      </c>
    </row>
    <row r="129" spans="1:19">
      <c r="A129" s="225"/>
      <c r="B129" s="226"/>
      <c r="C129" s="124" t="s">
        <v>183</v>
      </c>
      <c r="D129" s="125" t="s">
        <v>101</v>
      </c>
      <c r="E129" s="121"/>
      <c r="F129" s="121">
        <v>1</v>
      </c>
      <c r="G129" s="164">
        <f t="shared" si="109"/>
        <v>0.33333333333333331</v>
      </c>
      <c r="H129" s="121">
        <v>1</v>
      </c>
      <c r="I129" s="121">
        <v>1</v>
      </c>
      <c r="J129" s="136">
        <f t="shared" si="122"/>
        <v>31601.01</v>
      </c>
      <c r="K129" s="136">
        <v>31601.01</v>
      </c>
      <c r="L129" s="120" t="s">
        <v>104</v>
      </c>
      <c r="M129" s="120" t="s">
        <v>104</v>
      </c>
      <c r="N129" s="132">
        <f t="shared" si="123"/>
        <v>10533.669999999998</v>
      </c>
      <c r="O129" s="132">
        <f t="shared" si="124"/>
        <v>10533.669999999998</v>
      </c>
      <c r="P129" s="120" t="s">
        <v>104</v>
      </c>
      <c r="Q129" s="120" t="s">
        <v>104</v>
      </c>
      <c r="R129" s="136">
        <f t="shared" si="125"/>
        <v>31601.01</v>
      </c>
      <c r="S129" s="136">
        <f t="shared" si="126"/>
        <v>31601.01</v>
      </c>
    </row>
    <row r="130" spans="1:19">
      <c r="A130" s="225"/>
      <c r="B130" s="226"/>
      <c r="C130" s="124" t="s">
        <v>179</v>
      </c>
      <c r="D130" s="125" t="s">
        <v>101</v>
      </c>
      <c r="E130" s="121">
        <v>3</v>
      </c>
      <c r="F130" s="121">
        <v>7</v>
      </c>
      <c r="G130" s="164">
        <f t="shared" si="109"/>
        <v>4.333333333333333</v>
      </c>
      <c r="H130" s="121">
        <v>7</v>
      </c>
      <c r="I130" s="121">
        <v>7</v>
      </c>
      <c r="J130" s="136">
        <f t="shared" si="122"/>
        <v>22724.03</v>
      </c>
      <c r="K130" s="136">
        <v>22724.03</v>
      </c>
      <c r="L130" s="120" t="s">
        <v>104</v>
      </c>
      <c r="M130" s="120" t="s">
        <v>104</v>
      </c>
      <c r="N130" s="132">
        <f t="shared" si="123"/>
        <v>98470.796666666662</v>
      </c>
      <c r="O130" s="132">
        <f t="shared" si="124"/>
        <v>98470.796666666662</v>
      </c>
      <c r="P130" s="120" t="s">
        <v>104</v>
      </c>
      <c r="Q130" s="120" t="s">
        <v>104</v>
      </c>
      <c r="R130" s="136">
        <f t="shared" si="125"/>
        <v>159068.21</v>
      </c>
      <c r="S130" s="136">
        <f t="shared" si="126"/>
        <v>159068.21</v>
      </c>
    </row>
    <row r="131" spans="1:19" ht="120">
      <c r="A131" s="225"/>
      <c r="B131" s="226"/>
      <c r="C131" s="122" t="s">
        <v>105</v>
      </c>
      <c r="D131" s="125" t="s">
        <v>101</v>
      </c>
      <c r="E131" s="121">
        <v>5</v>
      </c>
      <c r="F131" s="121">
        <v>3</v>
      </c>
      <c r="G131" s="121">
        <f t="shared" si="109"/>
        <v>4.333333333333333</v>
      </c>
      <c r="H131" s="121">
        <v>3</v>
      </c>
      <c r="I131" s="121">
        <v>3</v>
      </c>
      <c r="J131" s="136">
        <f>SUM(K131:M131)</f>
        <v>166124.72</v>
      </c>
      <c r="K131" s="136">
        <f>145176.96+1169.2</f>
        <v>146346.16</v>
      </c>
      <c r="L131" s="133">
        <v>3857.41</v>
      </c>
      <c r="M131" s="133">
        <v>15921.15</v>
      </c>
      <c r="N131" s="132">
        <f>SUM(O131:Q131)</f>
        <v>719873.78666666674</v>
      </c>
      <c r="O131" s="132">
        <f>G131*K131</f>
        <v>634166.69333333336</v>
      </c>
      <c r="P131" s="134">
        <f>G131*L131</f>
        <v>16715.443333333333</v>
      </c>
      <c r="Q131" s="134">
        <f>G131*M131</f>
        <v>68991.649999999994</v>
      </c>
      <c r="R131" s="136">
        <f t="shared" si="97"/>
        <v>498374.16000000003</v>
      </c>
      <c r="S131" s="136">
        <f t="shared" si="98"/>
        <v>498374.16000000003</v>
      </c>
    </row>
    <row r="132" spans="1:19">
      <c r="A132" s="225"/>
      <c r="B132" s="178"/>
      <c r="C132" s="127" t="s">
        <v>106</v>
      </c>
      <c r="D132" s="125"/>
      <c r="E132" s="121">
        <f>E124+E131</f>
        <v>245</v>
      </c>
      <c r="F132" s="121">
        <f t="shared" ref="F132:I132" si="127">F124+F131</f>
        <v>238</v>
      </c>
      <c r="G132" s="121">
        <f t="shared" si="127"/>
        <v>242.66666666666669</v>
      </c>
      <c r="H132" s="121">
        <f t="shared" si="127"/>
        <v>238</v>
      </c>
      <c r="I132" s="121">
        <f t="shared" si="127"/>
        <v>238</v>
      </c>
      <c r="J132" s="134" t="s">
        <v>104</v>
      </c>
      <c r="K132" s="134" t="s">
        <v>104</v>
      </c>
      <c r="L132" s="135" t="s">
        <v>104</v>
      </c>
      <c r="M132" s="135" t="s">
        <v>104</v>
      </c>
      <c r="N132" s="135">
        <f t="shared" ref="N132:S132" si="128">SUM(N124:N131)</f>
        <v>13845028.386666667</v>
      </c>
      <c r="O132" s="135">
        <f t="shared" si="128"/>
        <v>9045431.1600000001</v>
      </c>
      <c r="P132" s="135">
        <f t="shared" si="128"/>
        <v>936064.82666666666</v>
      </c>
      <c r="Q132" s="135">
        <f t="shared" si="128"/>
        <v>3863532.4</v>
      </c>
      <c r="R132" s="136">
        <f t="shared" si="128"/>
        <v>13771730.580000002</v>
      </c>
      <c r="S132" s="136">
        <f t="shared" si="128"/>
        <v>13771730.580000002</v>
      </c>
    </row>
    <row r="133" spans="1:19" ht="90">
      <c r="A133" s="225"/>
      <c r="B133" s="226" t="s">
        <v>108</v>
      </c>
      <c r="C133" s="122" t="s">
        <v>100</v>
      </c>
      <c r="D133" s="123" t="s">
        <v>101</v>
      </c>
      <c r="E133" s="121">
        <v>36</v>
      </c>
      <c r="F133" s="121">
        <v>43</v>
      </c>
      <c r="G133" s="121">
        <f t="shared" si="109"/>
        <v>38.333333333333336</v>
      </c>
      <c r="H133" s="121">
        <v>43</v>
      </c>
      <c r="I133" s="121">
        <v>43</v>
      </c>
      <c r="J133" s="175">
        <f>SUM(K133:M133)</f>
        <v>60807.1</v>
      </c>
      <c r="K133" s="175">
        <f>39660.87+1367.67</f>
        <v>41028.54</v>
      </c>
      <c r="L133" s="131">
        <v>3857.41</v>
      </c>
      <c r="M133" s="133">
        <v>15921.15</v>
      </c>
      <c r="N133" s="134">
        <f>SUM(O133:Q133)</f>
        <v>2330938.8333333335</v>
      </c>
      <c r="O133" s="134">
        <f>G133*K133</f>
        <v>1572760.7000000002</v>
      </c>
      <c r="P133" s="134">
        <f>G133*L133</f>
        <v>147867.38333333333</v>
      </c>
      <c r="Q133" s="134">
        <f>G133*M133</f>
        <v>610310.75</v>
      </c>
      <c r="R133" s="136">
        <f t="shared" si="97"/>
        <v>2614705.2999999998</v>
      </c>
      <c r="S133" s="136">
        <f t="shared" si="98"/>
        <v>2614705.2999999998</v>
      </c>
    </row>
    <row r="134" spans="1:19" ht="120">
      <c r="A134" s="225"/>
      <c r="B134" s="226"/>
      <c r="C134" s="124" t="s">
        <v>102</v>
      </c>
      <c r="D134" s="125" t="s">
        <v>101</v>
      </c>
      <c r="E134" s="120" t="s">
        <v>104</v>
      </c>
      <c r="F134" s="120" t="s">
        <v>104</v>
      </c>
      <c r="G134" s="120" t="s">
        <v>104</v>
      </c>
      <c r="H134" s="120" t="s">
        <v>104</v>
      </c>
      <c r="I134" s="120" t="s">
        <v>104</v>
      </c>
      <c r="J134" s="120" t="s">
        <v>104</v>
      </c>
      <c r="K134" s="120" t="s">
        <v>104</v>
      </c>
      <c r="L134" s="120" t="s">
        <v>104</v>
      </c>
      <c r="M134" s="120" t="s">
        <v>104</v>
      </c>
      <c r="N134" s="132"/>
      <c r="O134" s="132"/>
      <c r="P134" s="120" t="s">
        <v>104</v>
      </c>
      <c r="Q134" s="120" t="s">
        <v>104</v>
      </c>
      <c r="R134" s="136"/>
      <c r="S134" s="136"/>
    </row>
    <row r="135" spans="1:19">
      <c r="A135" s="225"/>
      <c r="B135" s="226"/>
      <c r="C135" s="124" t="s">
        <v>175</v>
      </c>
      <c r="D135" s="125" t="s">
        <v>101</v>
      </c>
      <c r="E135" s="121"/>
      <c r="F135" s="121">
        <v>1</v>
      </c>
      <c r="G135" s="188">
        <f t="shared" si="109"/>
        <v>0.33333333333333331</v>
      </c>
      <c r="H135" s="121">
        <v>1</v>
      </c>
      <c r="I135" s="121">
        <v>1</v>
      </c>
      <c r="J135" s="136">
        <f>K135</f>
        <v>89075.19</v>
      </c>
      <c r="K135" s="136">
        <v>89075.19</v>
      </c>
      <c r="L135" s="120" t="s">
        <v>104</v>
      </c>
      <c r="M135" s="120" t="s">
        <v>104</v>
      </c>
      <c r="N135" s="132">
        <f>O135</f>
        <v>29691.73</v>
      </c>
      <c r="O135" s="132">
        <f>G135*K135</f>
        <v>29691.73</v>
      </c>
      <c r="P135" s="120" t="s">
        <v>104</v>
      </c>
      <c r="Q135" s="120" t="s">
        <v>104</v>
      </c>
      <c r="R135" s="136">
        <f>H135*K135</f>
        <v>89075.19</v>
      </c>
      <c r="S135" s="136">
        <f>I135*K135</f>
        <v>89075.19</v>
      </c>
    </row>
    <row r="136" spans="1:19">
      <c r="A136" s="225"/>
      <c r="B136" s="226"/>
      <c r="C136" s="124" t="s">
        <v>179</v>
      </c>
      <c r="D136" s="125" t="s">
        <v>101</v>
      </c>
      <c r="E136" s="121">
        <v>2</v>
      </c>
      <c r="F136" s="121">
        <v>1</v>
      </c>
      <c r="G136" s="188">
        <f t="shared" si="109"/>
        <v>1.6666666666666667</v>
      </c>
      <c r="H136" s="121">
        <v>1</v>
      </c>
      <c r="I136" s="121">
        <v>1</v>
      </c>
      <c r="J136" s="136">
        <f>K136</f>
        <v>22724.03</v>
      </c>
      <c r="K136" s="136">
        <v>22724.03</v>
      </c>
      <c r="L136" s="120" t="s">
        <v>104</v>
      </c>
      <c r="M136" s="120" t="s">
        <v>104</v>
      </c>
      <c r="N136" s="132">
        <f>O136</f>
        <v>37873.383333333331</v>
      </c>
      <c r="O136" s="132">
        <f>G136*K136</f>
        <v>37873.383333333331</v>
      </c>
      <c r="P136" s="120" t="s">
        <v>104</v>
      </c>
      <c r="Q136" s="120" t="s">
        <v>104</v>
      </c>
      <c r="R136" s="136">
        <f>H136*K136</f>
        <v>22724.03</v>
      </c>
      <c r="S136" s="136">
        <f>I136*K136</f>
        <v>22724.03</v>
      </c>
    </row>
    <row r="137" spans="1:19" ht="120">
      <c r="A137" s="225"/>
      <c r="B137" s="226"/>
      <c r="C137" s="122" t="s">
        <v>105</v>
      </c>
      <c r="D137" s="125" t="s">
        <v>101</v>
      </c>
      <c r="E137" s="121"/>
      <c r="F137" s="121">
        <v>1</v>
      </c>
      <c r="G137" s="188">
        <f t="shared" si="109"/>
        <v>0.33333333333333331</v>
      </c>
      <c r="H137" s="121">
        <v>1</v>
      </c>
      <c r="I137" s="121">
        <v>1</v>
      </c>
      <c r="J137" s="134">
        <f>K137</f>
        <v>175293.2</v>
      </c>
      <c r="K137" s="134">
        <f>173925.53+1367.67</f>
        <v>175293.2</v>
      </c>
      <c r="L137" s="131">
        <v>3857.41</v>
      </c>
      <c r="M137" s="133">
        <v>15921.15</v>
      </c>
      <c r="N137" s="132">
        <f>SUM(O137:Q137)</f>
        <v>65023.92</v>
      </c>
      <c r="O137" s="134">
        <f>G137*K137</f>
        <v>58431.066666666666</v>
      </c>
      <c r="P137" s="134">
        <f>G137*L137</f>
        <v>1285.8033333333333</v>
      </c>
      <c r="Q137" s="134">
        <f>G137*M137</f>
        <v>5307.0499999999993</v>
      </c>
      <c r="R137" s="136">
        <f>H137*K137</f>
        <v>175293.2</v>
      </c>
      <c r="S137" s="136">
        <f>I137*K137</f>
        <v>175293.2</v>
      </c>
    </row>
    <row r="138" spans="1:19">
      <c r="A138" s="225"/>
      <c r="B138" s="178"/>
      <c r="C138" s="127" t="s">
        <v>106</v>
      </c>
      <c r="D138" s="125"/>
      <c r="E138" s="121">
        <f>E133+E137</f>
        <v>36</v>
      </c>
      <c r="F138" s="121">
        <f t="shared" ref="F138:I138" si="129">F133+F137</f>
        <v>44</v>
      </c>
      <c r="G138" s="121">
        <f t="shared" si="129"/>
        <v>38.666666666666671</v>
      </c>
      <c r="H138" s="121">
        <f t="shared" si="129"/>
        <v>44</v>
      </c>
      <c r="I138" s="121">
        <f t="shared" si="129"/>
        <v>44</v>
      </c>
      <c r="J138" s="134" t="s">
        <v>104</v>
      </c>
      <c r="K138" s="134" t="s">
        <v>104</v>
      </c>
      <c r="L138" s="135" t="s">
        <v>104</v>
      </c>
      <c r="M138" s="135" t="s">
        <v>104</v>
      </c>
      <c r="N138" s="135">
        <f t="shared" ref="N138:Q138" si="130">SUM(N133:N137)</f>
        <v>2463527.8666666667</v>
      </c>
      <c r="O138" s="135">
        <f t="shared" si="130"/>
        <v>1698756.8800000001</v>
      </c>
      <c r="P138" s="135">
        <f t="shared" si="130"/>
        <v>149153.18666666668</v>
      </c>
      <c r="Q138" s="135">
        <f t="shared" si="130"/>
        <v>615617.80000000005</v>
      </c>
      <c r="R138" s="136">
        <f>SUM(R133:R137)</f>
        <v>2901797.7199999997</v>
      </c>
      <c r="S138" s="136">
        <f>SUM(S133:S137)</f>
        <v>2901797.7199999997</v>
      </c>
    </row>
    <row r="139" spans="1:19" ht="165">
      <c r="A139" s="225"/>
      <c r="B139" s="227" t="s">
        <v>109</v>
      </c>
      <c r="C139" s="122" t="s">
        <v>110</v>
      </c>
      <c r="D139" s="125" t="s">
        <v>101</v>
      </c>
      <c r="E139" s="121">
        <v>218</v>
      </c>
      <c r="F139" s="121">
        <v>218</v>
      </c>
      <c r="G139" s="188">
        <f t="shared" si="109"/>
        <v>218</v>
      </c>
      <c r="H139" s="121">
        <v>218</v>
      </c>
      <c r="I139" s="121">
        <v>218</v>
      </c>
      <c r="J139" s="136">
        <f>K139</f>
        <v>2770.76</v>
      </c>
      <c r="K139" s="136">
        <v>2770.76</v>
      </c>
      <c r="L139" s="133" t="s">
        <v>104</v>
      </c>
      <c r="M139" s="133" t="s">
        <v>104</v>
      </c>
      <c r="N139" s="134">
        <f>SUM(O139:Q139)</f>
        <v>604025.68000000005</v>
      </c>
      <c r="O139" s="134">
        <f>K139*E139</f>
        <v>604025.68000000005</v>
      </c>
      <c r="P139" s="134" t="s">
        <v>104</v>
      </c>
      <c r="Q139" s="134" t="s">
        <v>104</v>
      </c>
      <c r="R139" s="136">
        <f t="shared" si="97"/>
        <v>604025.68000000005</v>
      </c>
      <c r="S139" s="136">
        <f t="shared" si="98"/>
        <v>604025.68000000005</v>
      </c>
    </row>
    <row r="140" spans="1:19" ht="180">
      <c r="A140" s="225"/>
      <c r="B140" s="227"/>
      <c r="C140" s="122" t="s">
        <v>184</v>
      </c>
      <c r="D140" s="125" t="s">
        <v>101</v>
      </c>
      <c r="E140" s="121">
        <v>298</v>
      </c>
      <c r="F140" s="121">
        <v>298</v>
      </c>
      <c r="G140" s="188">
        <f t="shared" si="109"/>
        <v>298</v>
      </c>
      <c r="H140" s="121">
        <v>298</v>
      </c>
      <c r="I140" s="121">
        <v>298</v>
      </c>
      <c r="J140" s="136">
        <v>3829.24</v>
      </c>
      <c r="K140" s="136">
        <f>J140</f>
        <v>3829.24</v>
      </c>
      <c r="L140" s="133" t="s">
        <v>104</v>
      </c>
      <c r="M140" s="133" t="s">
        <v>104</v>
      </c>
      <c r="N140" s="134">
        <f>SUM(O140:Q140)</f>
        <v>1141113.52</v>
      </c>
      <c r="O140" s="134">
        <f>K140*E140</f>
        <v>1141113.52</v>
      </c>
      <c r="P140" s="134" t="s">
        <v>104</v>
      </c>
      <c r="Q140" s="134" t="s">
        <v>104</v>
      </c>
      <c r="R140" s="136">
        <f t="shared" si="97"/>
        <v>1141113.52</v>
      </c>
      <c r="S140" s="136">
        <f t="shared" si="98"/>
        <v>1141113.52</v>
      </c>
    </row>
    <row r="141" spans="1:19">
      <c r="A141" s="225"/>
      <c r="B141" s="130"/>
      <c r="C141" s="127" t="s">
        <v>106</v>
      </c>
      <c r="D141" s="130"/>
      <c r="E141" s="121">
        <f>SUM(E139:E140)</f>
        <v>516</v>
      </c>
      <c r="F141" s="121">
        <f>SUM(F139:F140)</f>
        <v>516</v>
      </c>
      <c r="G141" s="121">
        <f t="shared" ref="G141:I141" si="131">SUM(G139:G140)</f>
        <v>516</v>
      </c>
      <c r="H141" s="121">
        <f t="shared" si="131"/>
        <v>516</v>
      </c>
      <c r="I141" s="121">
        <f t="shared" si="131"/>
        <v>516</v>
      </c>
      <c r="J141" s="134" t="s">
        <v>104</v>
      </c>
      <c r="K141" s="134" t="s">
        <v>104</v>
      </c>
      <c r="L141" s="135" t="s">
        <v>104</v>
      </c>
      <c r="M141" s="135">
        <f t="shared" ref="M141:Q141" si="132">SUM(M139:M140)</f>
        <v>0</v>
      </c>
      <c r="N141" s="135">
        <f t="shared" si="132"/>
        <v>1745139.2000000002</v>
      </c>
      <c r="O141" s="135">
        <f t="shared" si="132"/>
        <v>1745139.2000000002</v>
      </c>
      <c r="P141" s="135">
        <f t="shared" si="132"/>
        <v>0</v>
      </c>
      <c r="Q141" s="135">
        <f t="shared" si="132"/>
        <v>0</v>
      </c>
      <c r="R141" s="136">
        <f>SUM(R139:R140)</f>
        <v>1745139.2000000002</v>
      </c>
      <c r="S141" s="136">
        <f>SUM(S139:S140)</f>
        <v>1745139.2000000002</v>
      </c>
    </row>
    <row r="142" spans="1:19">
      <c r="A142" s="225"/>
      <c r="B142" s="165" t="s">
        <v>112</v>
      </c>
      <c r="C142" s="165"/>
      <c r="D142" s="130"/>
      <c r="E142" s="166"/>
      <c r="F142" s="166"/>
      <c r="G142" s="166"/>
      <c r="H142" s="166"/>
      <c r="I142" s="166"/>
      <c r="J142" s="169"/>
      <c r="K142" s="169"/>
      <c r="L142" s="167"/>
      <c r="M142" s="167"/>
      <c r="N142" s="167">
        <f>SUM(O142:Q142)</f>
        <v>26997029.82</v>
      </c>
      <c r="O142" s="167">
        <f>O123+O132+O138+O141</f>
        <v>17476949.606666669</v>
      </c>
      <c r="P142" s="167">
        <f>P123+P132+P138+P141</f>
        <v>1856700.0133333334</v>
      </c>
      <c r="Q142" s="167">
        <f>Q123+Q132+Q138+Q141</f>
        <v>7663380.2000000002</v>
      </c>
      <c r="R142" s="167">
        <f>R123+R132+R138+R141</f>
        <v>27544021.859999999</v>
      </c>
      <c r="S142" s="167">
        <f>S123+S132+S138+S141</f>
        <v>27544021.859999999</v>
      </c>
    </row>
    <row r="143" spans="1:19" ht="90">
      <c r="A143" s="225" t="s">
        <v>114</v>
      </c>
      <c r="B143" s="226" t="s">
        <v>99</v>
      </c>
      <c r="C143" s="122" t="s">
        <v>100</v>
      </c>
      <c r="D143" s="123" t="s">
        <v>101</v>
      </c>
      <c r="E143" s="120">
        <v>157</v>
      </c>
      <c r="F143" s="120">
        <v>185</v>
      </c>
      <c r="G143" s="188">
        <f t="shared" ref="G143:G148" si="133">((E143*8)+(F143*4))/12</f>
        <v>166.33333333333334</v>
      </c>
      <c r="H143" s="120">
        <v>185</v>
      </c>
      <c r="I143" s="120">
        <v>185</v>
      </c>
      <c r="J143" s="175">
        <f>SUM(K143:M143)</f>
        <v>43059.57</v>
      </c>
      <c r="K143" s="175">
        <f>22328.93+952.08</f>
        <v>23281.010000000002</v>
      </c>
      <c r="L143" s="131">
        <v>3857.41</v>
      </c>
      <c r="M143" s="131">
        <v>15921.15</v>
      </c>
      <c r="N143" s="132">
        <f>SUM(O143:Q143)</f>
        <v>7162241.8100000005</v>
      </c>
      <c r="O143" s="132">
        <f>G143*K143</f>
        <v>3872407.9966666671</v>
      </c>
      <c r="P143" s="132">
        <f>G143*L143</f>
        <v>641615.8633333334</v>
      </c>
      <c r="Q143" s="136">
        <f>G143*M143</f>
        <v>2648217.9500000002</v>
      </c>
      <c r="R143" s="136">
        <f t="shared" si="97"/>
        <v>7966020.4500000002</v>
      </c>
      <c r="S143" s="136">
        <f t="shared" si="98"/>
        <v>7966020.4500000002</v>
      </c>
    </row>
    <row r="144" spans="1:19" ht="135">
      <c r="A144" s="225"/>
      <c r="B144" s="226"/>
      <c r="C144" s="124" t="s">
        <v>173</v>
      </c>
      <c r="D144" s="125" t="s">
        <v>101</v>
      </c>
      <c r="E144" s="120" t="s">
        <v>104</v>
      </c>
      <c r="F144" s="120" t="s">
        <v>104</v>
      </c>
      <c r="G144" s="120" t="s">
        <v>104</v>
      </c>
      <c r="H144" s="120" t="s">
        <v>104</v>
      </c>
      <c r="I144" s="120" t="s">
        <v>104</v>
      </c>
      <c r="J144" s="120" t="s">
        <v>104</v>
      </c>
      <c r="K144" s="120" t="s">
        <v>104</v>
      </c>
      <c r="L144" s="120" t="s">
        <v>104</v>
      </c>
      <c r="M144" s="120" t="s">
        <v>104</v>
      </c>
      <c r="N144" s="132"/>
      <c r="O144" s="132"/>
      <c r="P144" s="120" t="s">
        <v>104</v>
      </c>
      <c r="Q144" s="120" t="s">
        <v>104</v>
      </c>
      <c r="R144" s="136"/>
      <c r="S144" s="136"/>
    </row>
    <row r="145" spans="1:19">
      <c r="A145" s="225"/>
      <c r="B145" s="226"/>
      <c r="C145" s="124" t="s">
        <v>185</v>
      </c>
      <c r="D145" s="125" t="s">
        <v>101</v>
      </c>
      <c r="E145" s="126"/>
      <c r="F145" s="120">
        <v>1</v>
      </c>
      <c r="G145" s="188">
        <f t="shared" si="133"/>
        <v>0.33333333333333331</v>
      </c>
      <c r="H145" s="120">
        <v>1</v>
      </c>
      <c r="I145" s="120">
        <v>1</v>
      </c>
      <c r="J145" s="136">
        <f t="shared" ref="J145:J148" si="134">K145</f>
        <v>66860.39</v>
      </c>
      <c r="K145" s="136">
        <v>66860.39</v>
      </c>
      <c r="L145" s="120" t="s">
        <v>104</v>
      </c>
      <c r="M145" s="120" t="s">
        <v>104</v>
      </c>
      <c r="N145" s="132">
        <f>O145</f>
        <v>22286.796666666665</v>
      </c>
      <c r="O145" s="132">
        <f>G145*K145</f>
        <v>22286.796666666665</v>
      </c>
      <c r="P145" s="120" t="s">
        <v>104</v>
      </c>
      <c r="Q145" s="120" t="s">
        <v>104</v>
      </c>
      <c r="R145" s="136">
        <f>H145*K145</f>
        <v>66860.39</v>
      </c>
      <c r="S145" s="136">
        <f>I145*K145</f>
        <v>66860.39</v>
      </c>
    </row>
    <row r="146" spans="1:19">
      <c r="A146" s="225"/>
      <c r="B146" s="226"/>
      <c r="C146" s="124" t="s">
        <v>182</v>
      </c>
      <c r="D146" s="125" t="s">
        <v>101</v>
      </c>
      <c r="E146" s="126"/>
      <c r="F146" s="120">
        <v>2</v>
      </c>
      <c r="G146" s="188">
        <f t="shared" si="133"/>
        <v>0.66666666666666663</v>
      </c>
      <c r="H146" s="120">
        <v>2</v>
      </c>
      <c r="I146" s="120">
        <v>2</v>
      </c>
      <c r="J146" s="136">
        <f t="shared" si="134"/>
        <v>66860.39</v>
      </c>
      <c r="K146" s="136">
        <v>66860.39</v>
      </c>
      <c r="L146" s="120" t="s">
        <v>104</v>
      </c>
      <c r="M146" s="120" t="s">
        <v>104</v>
      </c>
      <c r="N146" s="132">
        <f t="shared" ref="N146:N148" si="135">O146</f>
        <v>44573.593333333331</v>
      </c>
      <c r="O146" s="132">
        <f t="shared" ref="O146:O147" si="136">G146*K146</f>
        <v>44573.593333333331</v>
      </c>
      <c r="P146" s="120" t="s">
        <v>104</v>
      </c>
      <c r="Q146" s="120" t="s">
        <v>104</v>
      </c>
      <c r="R146" s="136">
        <f t="shared" ref="R146:R148" si="137">H146*K146</f>
        <v>133720.78</v>
      </c>
      <c r="S146" s="136">
        <f t="shared" ref="S146:S148" si="138">I146*K146</f>
        <v>133720.78</v>
      </c>
    </row>
    <row r="147" spans="1:19">
      <c r="A147" s="225"/>
      <c r="B147" s="226"/>
      <c r="C147" s="124" t="s">
        <v>176</v>
      </c>
      <c r="D147" s="125" t="s">
        <v>101</v>
      </c>
      <c r="E147" s="126"/>
      <c r="F147" s="120">
        <v>2</v>
      </c>
      <c r="G147" s="188">
        <f t="shared" si="133"/>
        <v>0.66666666666666663</v>
      </c>
      <c r="H147" s="120">
        <v>2</v>
      </c>
      <c r="I147" s="120">
        <v>2</v>
      </c>
      <c r="J147" s="136">
        <f t="shared" si="134"/>
        <v>63972.15</v>
      </c>
      <c r="K147" s="136">
        <v>63972.15</v>
      </c>
      <c r="L147" s="120" t="s">
        <v>104</v>
      </c>
      <c r="M147" s="120" t="s">
        <v>104</v>
      </c>
      <c r="N147" s="132">
        <f t="shared" si="135"/>
        <v>42648.1</v>
      </c>
      <c r="O147" s="132">
        <f t="shared" si="136"/>
        <v>42648.1</v>
      </c>
      <c r="P147" s="120" t="s">
        <v>104</v>
      </c>
      <c r="Q147" s="120" t="s">
        <v>104</v>
      </c>
      <c r="R147" s="136">
        <f t="shared" si="137"/>
        <v>127944.3</v>
      </c>
      <c r="S147" s="136">
        <f t="shared" si="138"/>
        <v>127944.3</v>
      </c>
    </row>
    <row r="148" spans="1:19">
      <c r="A148" s="225"/>
      <c r="B148" s="226"/>
      <c r="C148" s="124" t="s">
        <v>179</v>
      </c>
      <c r="D148" s="125" t="s">
        <v>101</v>
      </c>
      <c r="E148" s="120">
        <v>2</v>
      </c>
      <c r="F148" s="120">
        <v>1</v>
      </c>
      <c r="G148" s="188">
        <f t="shared" si="133"/>
        <v>1.6666666666666667</v>
      </c>
      <c r="H148" s="120">
        <v>1</v>
      </c>
      <c r="I148" s="120">
        <v>1</v>
      </c>
      <c r="J148" s="136">
        <f t="shared" si="134"/>
        <v>22724.03</v>
      </c>
      <c r="K148" s="136">
        <v>22724.03</v>
      </c>
      <c r="L148" s="120" t="s">
        <v>104</v>
      </c>
      <c r="M148" s="120" t="s">
        <v>104</v>
      </c>
      <c r="N148" s="132">
        <f t="shared" si="135"/>
        <v>37873.383333333331</v>
      </c>
      <c r="O148" s="132">
        <f t="shared" ref="O148" si="139">G148*K148</f>
        <v>37873.383333333331</v>
      </c>
      <c r="P148" s="120" t="s">
        <v>104</v>
      </c>
      <c r="Q148" s="120" t="s">
        <v>104</v>
      </c>
      <c r="R148" s="136">
        <f t="shared" si="137"/>
        <v>22724.03</v>
      </c>
      <c r="S148" s="136">
        <f t="shared" si="138"/>
        <v>22724.03</v>
      </c>
    </row>
    <row r="149" spans="1:19" ht="120">
      <c r="A149" s="225"/>
      <c r="B149" s="226"/>
      <c r="C149" s="122" t="s">
        <v>105</v>
      </c>
      <c r="D149" s="125" t="s">
        <v>101</v>
      </c>
      <c r="E149" s="120"/>
      <c r="F149" s="120"/>
      <c r="G149" s="120"/>
      <c r="H149" s="120"/>
      <c r="I149" s="120"/>
      <c r="J149" s="136">
        <f>SUM(K149:M149)</f>
        <v>137159.02000000002</v>
      </c>
      <c r="K149" s="136">
        <f>116428.38+952.08</f>
        <v>117380.46</v>
      </c>
      <c r="L149" s="133">
        <v>3857.41</v>
      </c>
      <c r="M149" s="133">
        <v>15921.15</v>
      </c>
      <c r="N149" s="132">
        <f>SUM(O149:Q149)</f>
        <v>0</v>
      </c>
      <c r="O149" s="132">
        <f>E149*K149</f>
        <v>0</v>
      </c>
      <c r="P149" s="132">
        <f>E149*L149</f>
        <v>0</v>
      </c>
      <c r="Q149" s="136">
        <f>E149*M149</f>
        <v>0</v>
      </c>
      <c r="R149" s="136">
        <f t="shared" si="97"/>
        <v>0</v>
      </c>
      <c r="S149" s="136">
        <f t="shared" si="98"/>
        <v>0</v>
      </c>
    </row>
    <row r="150" spans="1:19">
      <c r="A150" s="225"/>
      <c r="B150" s="226"/>
      <c r="C150" s="127" t="s">
        <v>106</v>
      </c>
      <c r="D150" s="128"/>
      <c r="E150" s="120">
        <f>E143+E149</f>
        <v>157</v>
      </c>
      <c r="F150" s="120">
        <f t="shared" ref="F150:I150" si="140">F143+F149</f>
        <v>185</v>
      </c>
      <c r="G150" s="120">
        <f t="shared" si="140"/>
        <v>166.33333333333334</v>
      </c>
      <c r="H150" s="120">
        <f t="shared" si="140"/>
        <v>185</v>
      </c>
      <c r="I150" s="120">
        <f t="shared" si="140"/>
        <v>185</v>
      </c>
      <c r="J150" s="132" t="s">
        <v>104</v>
      </c>
      <c r="K150" s="132" t="s">
        <v>104</v>
      </c>
      <c r="L150" s="132" t="s">
        <v>104</v>
      </c>
      <c r="M150" s="132" t="s">
        <v>104</v>
      </c>
      <c r="N150" s="132">
        <f t="shared" ref="N150:S150" si="141">SUM(N143:N149)</f>
        <v>7309623.6833333345</v>
      </c>
      <c r="O150" s="132">
        <f t="shared" si="141"/>
        <v>4019789.8700000006</v>
      </c>
      <c r="P150" s="132">
        <f t="shared" si="141"/>
        <v>641615.8633333334</v>
      </c>
      <c r="Q150" s="132">
        <f t="shared" si="141"/>
        <v>2648217.9500000002</v>
      </c>
      <c r="R150" s="132">
        <f t="shared" si="141"/>
        <v>8317269.9500000002</v>
      </c>
      <c r="S150" s="132">
        <f t="shared" si="141"/>
        <v>8317269.9500000002</v>
      </c>
    </row>
    <row r="151" spans="1:19" ht="90">
      <c r="A151" s="225"/>
      <c r="B151" s="226" t="s">
        <v>107</v>
      </c>
      <c r="C151" s="122" t="s">
        <v>100</v>
      </c>
      <c r="D151" s="123" t="s">
        <v>101</v>
      </c>
      <c r="E151" s="120">
        <v>293</v>
      </c>
      <c r="F151" s="120">
        <v>269</v>
      </c>
      <c r="G151" s="188">
        <f t="shared" ref="G151:G154" si="142">((E151*8)+(F151*4))/12</f>
        <v>285</v>
      </c>
      <c r="H151" s="120">
        <v>269</v>
      </c>
      <c r="I151" s="120">
        <v>269</v>
      </c>
      <c r="J151" s="175">
        <f>SUM(K151:M151)</f>
        <v>54095.340000000004</v>
      </c>
      <c r="K151" s="175">
        <f>33147.58+1169.2</f>
        <v>34316.78</v>
      </c>
      <c r="L151" s="131">
        <v>3857.41</v>
      </c>
      <c r="M151" s="133">
        <v>15921.15</v>
      </c>
      <c r="N151" s="132">
        <f>SUM(O151:Q151)</f>
        <v>15417171.899999999</v>
      </c>
      <c r="O151" s="132">
        <f>G151*K151</f>
        <v>9780282.2999999989</v>
      </c>
      <c r="P151" s="132">
        <f>G151*L151</f>
        <v>1099361.8499999999</v>
      </c>
      <c r="Q151" s="132">
        <f>G151*M151</f>
        <v>4537527.75</v>
      </c>
      <c r="R151" s="136">
        <f t="shared" si="97"/>
        <v>14551646.460000001</v>
      </c>
      <c r="S151" s="136">
        <f t="shared" si="98"/>
        <v>14551646.460000001</v>
      </c>
    </row>
    <row r="152" spans="1:19" ht="135">
      <c r="A152" s="225"/>
      <c r="B152" s="226"/>
      <c r="C152" s="124" t="s">
        <v>173</v>
      </c>
      <c r="D152" s="125" t="s">
        <v>101</v>
      </c>
      <c r="E152" s="120" t="s">
        <v>104</v>
      </c>
      <c r="F152" s="120" t="s">
        <v>104</v>
      </c>
      <c r="G152" s="120" t="s">
        <v>104</v>
      </c>
      <c r="H152" s="120" t="s">
        <v>104</v>
      </c>
      <c r="I152" s="120" t="s">
        <v>104</v>
      </c>
      <c r="J152" s="120" t="s">
        <v>104</v>
      </c>
      <c r="K152" s="120" t="s">
        <v>104</v>
      </c>
      <c r="L152" s="120" t="s">
        <v>104</v>
      </c>
      <c r="M152" s="120" t="s">
        <v>104</v>
      </c>
      <c r="N152" s="132"/>
      <c r="O152" s="132"/>
      <c r="P152" s="120" t="s">
        <v>104</v>
      </c>
      <c r="Q152" s="120" t="s">
        <v>104</v>
      </c>
      <c r="R152" s="136"/>
      <c r="S152" s="136"/>
    </row>
    <row r="153" spans="1:19">
      <c r="A153" s="225"/>
      <c r="B153" s="226"/>
      <c r="C153" s="124" t="s">
        <v>185</v>
      </c>
      <c r="D153" s="125" t="s">
        <v>101</v>
      </c>
      <c r="E153" s="121"/>
      <c r="F153" s="121">
        <v>1</v>
      </c>
      <c r="G153" s="188">
        <f t="shared" si="142"/>
        <v>0.33333333333333331</v>
      </c>
      <c r="H153" s="121">
        <v>1</v>
      </c>
      <c r="I153" s="121">
        <v>1</v>
      </c>
      <c r="J153" s="136">
        <f t="shared" ref="J153:J154" si="143">K153</f>
        <v>66860.39</v>
      </c>
      <c r="K153" s="136">
        <v>66860.39</v>
      </c>
      <c r="L153" s="120" t="s">
        <v>104</v>
      </c>
      <c r="M153" s="120" t="s">
        <v>104</v>
      </c>
      <c r="N153" s="132">
        <f t="shared" ref="N153:N154" si="144">O153</f>
        <v>22286.796666666665</v>
      </c>
      <c r="O153" s="132">
        <f t="shared" ref="O153:O154" si="145">G153*K153</f>
        <v>22286.796666666665</v>
      </c>
      <c r="P153" s="120" t="s">
        <v>104</v>
      </c>
      <c r="Q153" s="120" t="s">
        <v>104</v>
      </c>
      <c r="R153" s="136">
        <f>H153*K153</f>
        <v>66860.39</v>
      </c>
      <c r="S153" s="136">
        <f>I153*K153</f>
        <v>66860.39</v>
      </c>
    </row>
    <row r="154" spans="1:19">
      <c r="A154" s="225"/>
      <c r="B154" s="226"/>
      <c r="C154" s="124" t="s">
        <v>175</v>
      </c>
      <c r="D154" s="125" t="s">
        <v>101</v>
      </c>
      <c r="E154" s="121"/>
      <c r="F154" s="121">
        <v>1</v>
      </c>
      <c r="G154" s="188">
        <f t="shared" si="142"/>
        <v>0.33333333333333331</v>
      </c>
      <c r="H154" s="121">
        <v>1</v>
      </c>
      <c r="I154" s="121">
        <v>1</v>
      </c>
      <c r="J154" s="136">
        <f t="shared" si="143"/>
        <v>89075.19</v>
      </c>
      <c r="K154" s="136">
        <v>89075.19</v>
      </c>
      <c r="L154" s="120" t="s">
        <v>104</v>
      </c>
      <c r="M154" s="120" t="s">
        <v>104</v>
      </c>
      <c r="N154" s="132">
        <f t="shared" si="144"/>
        <v>29691.73</v>
      </c>
      <c r="O154" s="132">
        <f t="shared" si="145"/>
        <v>29691.73</v>
      </c>
      <c r="P154" s="120" t="s">
        <v>104</v>
      </c>
      <c r="Q154" s="120" t="s">
        <v>104</v>
      </c>
      <c r="R154" s="136">
        <f t="shared" ref="R154:R155" si="146">H154*K154</f>
        <v>89075.19</v>
      </c>
      <c r="S154" s="136">
        <f t="shared" ref="S154:S155" si="147">I154*K154</f>
        <v>89075.19</v>
      </c>
    </row>
    <row r="155" spans="1:19">
      <c r="A155" s="225"/>
      <c r="B155" s="226"/>
      <c r="C155" s="124" t="s">
        <v>179</v>
      </c>
      <c r="D155" s="125" t="s">
        <v>101</v>
      </c>
      <c r="E155" s="121">
        <v>6</v>
      </c>
      <c r="F155" s="121">
        <v>4</v>
      </c>
      <c r="G155" s="188">
        <f t="shared" ref="G155:G161" si="148">((E155*8)+(F155*4))/12</f>
        <v>5.333333333333333</v>
      </c>
      <c r="H155" s="121">
        <v>4</v>
      </c>
      <c r="I155" s="121">
        <v>4</v>
      </c>
      <c r="J155" s="136">
        <f>K155</f>
        <v>22724.03</v>
      </c>
      <c r="K155" s="136">
        <v>22724.03</v>
      </c>
      <c r="L155" s="120" t="s">
        <v>104</v>
      </c>
      <c r="M155" s="120" t="s">
        <v>104</v>
      </c>
      <c r="N155" s="132">
        <f>O155</f>
        <v>121194.82666666666</v>
      </c>
      <c r="O155" s="132">
        <f>G155*K155</f>
        <v>121194.82666666666</v>
      </c>
      <c r="P155" s="120" t="s">
        <v>104</v>
      </c>
      <c r="Q155" s="120" t="s">
        <v>104</v>
      </c>
      <c r="R155" s="136">
        <f t="shared" si="146"/>
        <v>90896.12</v>
      </c>
      <c r="S155" s="136">
        <f t="shared" si="147"/>
        <v>90896.12</v>
      </c>
    </row>
    <row r="156" spans="1:19" ht="120">
      <c r="A156" s="225"/>
      <c r="B156" s="226"/>
      <c r="C156" s="122" t="s">
        <v>105</v>
      </c>
      <c r="D156" s="125" t="s">
        <v>101</v>
      </c>
      <c r="E156" s="121">
        <v>3</v>
      </c>
      <c r="F156" s="121">
        <v>5</v>
      </c>
      <c r="G156" s="121">
        <f t="shared" si="148"/>
        <v>3.6666666666666665</v>
      </c>
      <c r="H156" s="121">
        <v>5</v>
      </c>
      <c r="I156" s="121">
        <v>5</v>
      </c>
      <c r="J156" s="136">
        <f>SUM(K156:M156)</f>
        <v>166124.72</v>
      </c>
      <c r="K156" s="136">
        <f>145176.96+1169.2</f>
        <v>146346.16</v>
      </c>
      <c r="L156" s="133">
        <v>3857.41</v>
      </c>
      <c r="M156" s="133">
        <v>15921.15</v>
      </c>
      <c r="N156" s="134">
        <f>SUM(O156:Q156)</f>
        <v>609123.97333333339</v>
      </c>
      <c r="O156" s="134">
        <f>G156*K156</f>
        <v>536602.58666666667</v>
      </c>
      <c r="P156" s="134">
        <f>G156*L156</f>
        <v>14143.836666666666</v>
      </c>
      <c r="Q156" s="134">
        <f>G156*M156</f>
        <v>58377.549999999996</v>
      </c>
      <c r="R156" s="136">
        <f t="shared" si="97"/>
        <v>830623.6</v>
      </c>
      <c r="S156" s="136">
        <f t="shared" si="98"/>
        <v>830623.6</v>
      </c>
    </row>
    <row r="157" spans="1:19">
      <c r="A157" s="225"/>
      <c r="B157" s="178"/>
      <c r="C157" s="127" t="s">
        <v>106</v>
      </c>
      <c r="D157" s="125"/>
      <c r="E157" s="121">
        <f>E151+E156</f>
        <v>296</v>
      </c>
      <c r="F157" s="121">
        <f t="shared" ref="F157:I157" si="149">F151+F156</f>
        <v>274</v>
      </c>
      <c r="G157" s="121">
        <f t="shared" si="149"/>
        <v>288.66666666666669</v>
      </c>
      <c r="H157" s="121">
        <f t="shared" si="149"/>
        <v>274</v>
      </c>
      <c r="I157" s="121">
        <f t="shared" si="149"/>
        <v>274</v>
      </c>
      <c r="J157" s="134" t="s">
        <v>104</v>
      </c>
      <c r="K157" s="134" t="s">
        <v>104</v>
      </c>
      <c r="L157" s="135" t="s">
        <v>104</v>
      </c>
      <c r="M157" s="135" t="s">
        <v>104</v>
      </c>
      <c r="N157" s="135">
        <f t="shared" ref="N157:S157" si="150">SUM(N151:N156)</f>
        <v>16199469.226666665</v>
      </c>
      <c r="O157" s="135">
        <f t="shared" si="150"/>
        <v>10490058.239999998</v>
      </c>
      <c r="P157" s="135">
        <f t="shared" si="150"/>
        <v>1113505.6866666665</v>
      </c>
      <c r="Q157" s="135">
        <f t="shared" si="150"/>
        <v>4595905.3</v>
      </c>
      <c r="R157" s="135">
        <f t="shared" si="150"/>
        <v>15629101.76</v>
      </c>
      <c r="S157" s="135">
        <f t="shared" si="150"/>
        <v>15629101.76</v>
      </c>
    </row>
    <row r="158" spans="1:19" ht="90">
      <c r="A158" s="225"/>
      <c r="B158" s="226" t="s">
        <v>108</v>
      </c>
      <c r="C158" s="122" t="s">
        <v>100</v>
      </c>
      <c r="D158" s="123" t="s">
        <v>101</v>
      </c>
      <c r="E158" s="121">
        <v>49</v>
      </c>
      <c r="F158" s="121">
        <v>56</v>
      </c>
      <c r="G158" s="121">
        <f t="shared" si="148"/>
        <v>51.333333333333336</v>
      </c>
      <c r="H158" s="121">
        <v>56</v>
      </c>
      <c r="I158" s="121">
        <v>56</v>
      </c>
      <c r="J158" s="175">
        <f>SUM(K158:M158)</f>
        <v>60807.1</v>
      </c>
      <c r="K158" s="175">
        <f>39660.87+1367.67</f>
        <v>41028.54</v>
      </c>
      <c r="L158" s="131">
        <v>3857.41</v>
      </c>
      <c r="M158" s="133">
        <v>15921.15</v>
      </c>
      <c r="N158" s="134">
        <f>SUM(O158:Q158)</f>
        <v>3121431.1333333338</v>
      </c>
      <c r="O158" s="134">
        <f>G158*K158</f>
        <v>2106131.7200000002</v>
      </c>
      <c r="P158" s="134">
        <f>G158*L158</f>
        <v>198013.71333333335</v>
      </c>
      <c r="Q158" s="134">
        <f>G158*M158</f>
        <v>817285.70000000007</v>
      </c>
      <c r="R158" s="136">
        <f t="shared" si="97"/>
        <v>3405197.6</v>
      </c>
      <c r="S158" s="136">
        <f t="shared" si="98"/>
        <v>3405197.6</v>
      </c>
    </row>
    <row r="159" spans="1:19" ht="135">
      <c r="A159" s="225"/>
      <c r="B159" s="226"/>
      <c r="C159" s="124" t="s">
        <v>173</v>
      </c>
      <c r="D159" s="125" t="s">
        <v>101</v>
      </c>
      <c r="E159" s="120" t="s">
        <v>104</v>
      </c>
      <c r="F159" s="120" t="s">
        <v>104</v>
      </c>
      <c r="G159" s="120" t="s">
        <v>104</v>
      </c>
      <c r="H159" s="120" t="s">
        <v>104</v>
      </c>
      <c r="I159" s="120" t="s">
        <v>104</v>
      </c>
      <c r="J159" s="120" t="s">
        <v>104</v>
      </c>
      <c r="K159" s="120" t="s">
        <v>104</v>
      </c>
      <c r="L159" s="120" t="s">
        <v>104</v>
      </c>
      <c r="M159" s="120" t="s">
        <v>104</v>
      </c>
      <c r="N159" s="132"/>
      <c r="O159" s="132"/>
      <c r="P159" s="120" t="s">
        <v>104</v>
      </c>
      <c r="Q159" s="120" t="s">
        <v>104</v>
      </c>
      <c r="R159" s="136"/>
      <c r="S159" s="136"/>
    </row>
    <row r="160" spans="1:19">
      <c r="A160" s="225"/>
      <c r="B160" s="226"/>
      <c r="C160" s="124" t="s">
        <v>175</v>
      </c>
      <c r="D160" s="125" t="s">
        <v>101</v>
      </c>
      <c r="E160" s="121"/>
      <c r="F160" s="121">
        <v>1</v>
      </c>
      <c r="G160" s="188">
        <f t="shared" si="148"/>
        <v>0.33333333333333331</v>
      </c>
      <c r="H160" s="121">
        <v>1</v>
      </c>
      <c r="I160" s="121">
        <v>1</v>
      </c>
      <c r="J160" s="136">
        <f>K160</f>
        <v>89075.19</v>
      </c>
      <c r="K160" s="136">
        <v>89075.19</v>
      </c>
      <c r="L160" s="120" t="s">
        <v>104</v>
      </c>
      <c r="M160" s="120" t="s">
        <v>104</v>
      </c>
      <c r="N160" s="132">
        <f>O160</f>
        <v>29691.73</v>
      </c>
      <c r="O160" s="132">
        <f>G160*K160</f>
        <v>29691.73</v>
      </c>
      <c r="P160" s="120" t="s">
        <v>104</v>
      </c>
      <c r="Q160" s="120" t="s">
        <v>104</v>
      </c>
      <c r="R160" s="136">
        <f>H160*K160</f>
        <v>89075.19</v>
      </c>
      <c r="S160" s="136">
        <f>I160*K160</f>
        <v>89075.19</v>
      </c>
    </row>
    <row r="161" spans="1:19">
      <c r="A161" s="225"/>
      <c r="B161" s="226"/>
      <c r="C161" s="124" t="s">
        <v>179</v>
      </c>
      <c r="D161" s="125" t="s">
        <v>101</v>
      </c>
      <c r="E161" s="121">
        <v>1</v>
      </c>
      <c r="F161" s="121">
        <v>1</v>
      </c>
      <c r="G161" s="121">
        <f t="shared" si="148"/>
        <v>1</v>
      </c>
      <c r="H161" s="121">
        <v>1</v>
      </c>
      <c r="I161" s="121">
        <v>1</v>
      </c>
      <c r="J161" s="136">
        <f>K161</f>
        <v>22724.03</v>
      </c>
      <c r="K161" s="136">
        <v>22724.03</v>
      </c>
      <c r="L161" s="120" t="s">
        <v>104</v>
      </c>
      <c r="M161" s="120" t="s">
        <v>104</v>
      </c>
      <c r="N161" s="132">
        <f>O161</f>
        <v>22724.03</v>
      </c>
      <c r="O161" s="132">
        <f t="shared" ref="O161:O162" si="151">E161*K161</f>
        <v>22724.03</v>
      </c>
      <c r="P161" s="120" t="s">
        <v>104</v>
      </c>
      <c r="Q161" s="120" t="s">
        <v>104</v>
      </c>
      <c r="R161" s="136">
        <f>H161*K161</f>
        <v>22724.03</v>
      </c>
      <c r="S161" s="136">
        <f>I161*K161</f>
        <v>22724.03</v>
      </c>
    </row>
    <row r="162" spans="1:19" ht="120">
      <c r="A162" s="225"/>
      <c r="B162" s="226"/>
      <c r="C162" s="122" t="s">
        <v>105</v>
      </c>
      <c r="D162" s="125" t="s">
        <v>101</v>
      </c>
      <c r="E162" s="121"/>
      <c r="F162" s="121"/>
      <c r="G162" s="121"/>
      <c r="H162" s="121"/>
      <c r="I162" s="121"/>
      <c r="J162" s="136">
        <f>SUM(K162:M162)</f>
        <v>195071.76</v>
      </c>
      <c r="K162" s="136">
        <f>173925.53+1367.67</f>
        <v>175293.2</v>
      </c>
      <c r="L162" s="133">
        <v>3857.41</v>
      </c>
      <c r="M162" s="133">
        <v>15921.15</v>
      </c>
      <c r="N162" s="134"/>
      <c r="O162" s="132">
        <f t="shared" si="151"/>
        <v>0</v>
      </c>
      <c r="P162" s="134"/>
      <c r="Q162" s="134"/>
      <c r="R162" s="136">
        <f t="shared" si="97"/>
        <v>0</v>
      </c>
      <c r="S162" s="136">
        <f t="shared" si="98"/>
        <v>0</v>
      </c>
    </row>
    <row r="163" spans="1:19">
      <c r="A163" s="225"/>
      <c r="B163" s="178"/>
      <c r="C163" s="127" t="s">
        <v>106</v>
      </c>
      <c r="D163" s="125"/>
      <c r="E163" s="121">
        <f>E158+E162</f>
        <v>49</v>
      </c>
      <c r="F163" s="121">
        <f t="shared" ref="F163:I163" si="152">F158+F162</f>
        <v>56</v>
      </c>
      <c r="G163" s="121">
        <f t="shared" si="152"/>
        <v>51.333333333333336</v>
      </c>
      <c r="H163" s="121">
        <f t="shared" si="152"/>
        <v>56</v>
      </c>
      <c r="I163" s="121">
        <f t="shared" si="152"/>
        <v>56</v>
      </c>
      <c r="J163" s="134" t="s">
        <v>104</v>
      </c>
      <c r="K163" s="134" t="s">
        <v>104</v>
      </c>
      <c r="L163" s="135" t="s">
        <v>104</v>
      </c>
      <c r="M163" s="135" t="s">
        <v>104</v>
      </c>
      <c r="N163" s="135">
        <f t="shared" ref="N163:S163" si="153">SUM(N158:N162)</f>
        <v>3173846.8933333335</v>
      </c>
      <c r="O163" s="135">
        <f t="shared" si="153"/>
        <v>2158547.48</v>
      </c>
      <c r="P163" s="135">
        <f t="shared" si="153"/>
        <v>198013.71333333335</v>
      </c>
      <c r="Q163" s="135">
        <f t="shared" si="153"/>
        <v>817285.70000000007</v>
      </c>
      <c r="R163" s="135">
        <f t="shared" si="153"/>
        <v>3516996.82</v>
      </c>
      <c r="S163" s="135">
        <f t="shared" si="153"/>
        <v>3516996.82</v>
      </c>
    </row>
    <row r="164" spans="1:19" ht="165">
      <c r="A164" s="225"/>
      <c r="B164" s="227" t="s">
        <v>109</v>
      </c>
      <c r="C164" s="122" t="s">
        <v>110</v>
      </c>
      <c r="D164" s="125" t="s">
        <v>101</v>
      </c>
      <c r="E164" s="121">
        <v>370</v>
      </c>
      <c r="F164" s="121">
        <v>370</v>
      </c>
      <c r="G164" s="121">
        <f t="shared" ref="G164:G165" si="154">((E164*8)+(F164*4))/12</f>
        <v>370</v>
      </c>
      <c r="H164" s="121">
        <v>370</v>
      </c>
      <c r="I164" s="121">
        <v>370</v>
      </c>
      <c r="J164" s="136">
        <f>K164</f>
        <v>2770.76</v>
      </c>
      <c r="K164" s="136">
        <v>2770.76</v>
      </c>
      <c r="L164" s="133" t="s">
        <v>104</v>
      </c>
      <c r="M164" s="133" t="s">
        <v>104</v>
      </c>
      <c r="N164" s="134">
        <f>SUM(O164:Q164)</f>
        <v>1025181.2000000001</v>
      </c>
      <c r="O164" s="134">
        <f>K164*E164</f>
        <v>1025181.2000000001</v>
      </c>
      <c r="P164" s="134" t="s">
        <v>104</v>
      </c>
      <c r="Q164" s="134" t="s">
        <v>104</v>
      </c>
      <c r="R164" s="136">
        <f t="shared" si="97"/>
        <v>1025181.2000000001</v>
      </c>
      <c r="S164" s="136">
        <f t="shared" si="98"/>
        <v>1025181.2000000001</v>
      </c>
    </row>
    <row r="165" spans="1:19" ht="180">
      <c r="A165" s="225"/>
      <c r="B165" s="227"/>
      <c r="C165" s="122" t="s">
        <v>180</v>
      </c>
      <c r="D165" s="125" t="s">
        <v>101</v>
      </c>
      <c r="E165" s="121">
        <v>369</v>
      </c>
      <c r="F165" s="121">
        <v>369</v>
      </c>
      <c r="G165" s="121">
        <f t="shared" si="154"/>
        <v>369</v>
      </c>
      <c r="H165" s="121">
        <v>369</v>
      </c>
      <c r="I165" s="121">
        <v>369</v>
      </c>
      <c r="J165" s="136">
        <v>3829.24</v>
      </c>
      <c r="K165" s="136">
        <f>J165</f>
        <v>3829.24</v>
      </c>
      <c r="L165" s="133" t="s">
        <v>104</v>
      </c>
      <c r="M165" s="133" t="s">
        <v>104</v>
      </c>
      <c r="N165" s="134">
        <f>SUM(O165:Q165)</f>
        <v>1412989.5599999998</v>
      </c>
      <c r="O165" s="134">
        <f>K165*E165</f>
        <v>1412989.5599999998</v>
      </c>
      <c r="P165" s="134" t="s">
        <v>104</v>
      </c>
      <c r="Q165" s="134" t="s">
        <v>104</v>
      </c>
      <c r="R165" s="136">
        <f t="shared" si="97"/>
        <v>1412989.5599999998</v>
      </c>
      <c r="S165" s="136">
        <f t="shared" si="98"/>
        <v>1412989.5599999998</v>
      </c>
    </row>
    <row r="166" spans="1:19">
      <c r="A166" s="225"/>
      <c r="B166" s="130"/>
      <c r="C166" s="127" t="s">
        <v>106</v>
      </c>
      <c r="D166" s="130"/>
      <c r="E166" s="121">
        <f>SUM(E164:E165)</f>
        <v>739</v>
      </c>
      <c r="F166" s="121">
        <f t="shared" ref="F166:I166" si="155">SUM(F164:F165)</f>
        <v>739</v>
      </c>
      <c r="G166" s="121">
        <f t="shared" si="155"/>
        <v>739</v>
      </c>
      <c r="H166" s="121">
        <f t="shared" si="155"/>
        <v>739</v>
      </c>
      <c r="I166" s="121">
        <f t="shared" si="155"/>
        <v>739</v>
      </c>
      <c r="J166" s="134" t="s">
        <v>104</v>
      </c>
      <c r="K166" s="134" t="s">
        <v>104</v>
      </c>
      <c r="L166" s="135" t="s">
        <v>104</v>
      </c>
      <c r="M166" s="135">
        <f t="shared" ref="M166:Q166" si="156">SUM(M164:M165)</f>
        <v>0</v>
      </c>
      <c r="N166" s="135">
        <f t="shared" si="156"/>
        <v>2438170.7599999998</v>
      </c>
      <c r="O166" s="135">
        <f t="shared" si="156"/>
        <v>2438170.7599999998</v>
      </c>
      <c r="P166" s="135">
        <f t="shared" si="156"/>
        <v>0</v>
      </c>
      <c r="Q166" s="135">
        <f t="shared" si="156"/>
        <v>0</v>
      </c>
      <c r="R166" s="136">
        <f>SUM(R164:R165)</f>
        <v>2438170.7599999998</v>
      </c>
      <c r="S166" s="136">
        <f>SUM(S164:S165)</f>
        <v>2438170.7599999998</v>
      </c>
    </row>
    <row r="167" spans="1:19">
      <c r="A167" s="225"/>
      <c r="B167" s="165" t="s">
        <v>112</v>
      </c>
      <c r="C167" s="165"/>
      <c r="D167" s="130"/>
      <c r="E167" s="166"/>
      <c r="F167" s="166"/>
      <c r="G167" s="166"/>
      <c r="H167" s="166"/>
      <c r="I167" s="166"/>
      <c r="J167" s="169"/>
      <c r="K167" s="169"/>
      <c r="L167" s="167"/>
      <c r="M167" s="167"/>
      <c r="N167" s="167">
        <f>SUM(O167:Q167)</f>
        <v>29121110.563333333</v>
      </c>
      <c r="O167" s="167">
        <f t="shared" ref="O167:S167" si="157">O150+O157+O163+O166</f>
        <v>19106566.350000001</v>
      </c>
      <c r="P167" s="167">
        <f t="shared" si="157"/>
        <v>1953135.2633333332</v>
      </c>
      <c r="Q167" s="167">
        <f t="shared" si="157"/>
        <v>8061408.9500000002</v>
      </c>
      <c r="R167" s="167">
        <f t="shared" si="157"/>
        <v>29901539.289999999</v>
      </c>
      <c r="S167" s="167">
        <f t="shared" si="157"/>
        <v>29901539.289999999</v>
      </c>
    </row>
    <row r="168" spans="1:19" ht="90">
      <c r="A168" s="225" t="s">
        <v>115</v>
      </c>
      <c r="B168" s="226" t="s">
        <v>99</v>
      </c>
      <c r="C168" s="122" t="s">
        <v>100</v>
      </c>
      <c r="D168" s="123" t="s">
        <v>101</v>
      </c>
      <c r="E168" s="120">
        <v>195</v>
      </c>
      <c r="F168" s="120">
        <v>198</v>
      </c>
      <c r="G168" s="121">
        <f t="shared" ref="G168" si="158">((E168*8)+(F168*4))/12</f>
        <v>196</v>
      </c>
      <c r="H168" s="120">
        <v>198</v>
      </c>
      <c r="I168" s="120">
        <v>198</v>
      </c>
      <c r="J168" s="175">
        <f>SUM(K168:M168)</f>
        <v>43059.57</v>
      </c>
      <c r="K168" s="175">
        <f>22328.93+952.08</f>
        <v>23281.010000000002</v>
      </c>
      <c r="L168" s="131">
        <v>3857.41</v>
      </c>
      <c r="M168" s="131">
        <v>15921.15</v>
      </c>
      <c r="N168" s="132">
        <f>SUM(O168:Q168)</f>
        <v>8439675.7200000007</v>
      </c>
      <c r="O168" s="132">
        <f>G168*K168</f>
        <v>4563077.96</v>
      </c>
      <c r="P168" s="132">
        <f>G168*L168</f>
        <v>756052.36</v>
      </c>
      <c r="Q168" s="136">
        <f>G168*M168</f>
        <v>3120545.4</v>
      </c>
      <c r="R168" s="136">
        <f t="shared" si="97"/>
        <v>8525794.8599999994</v>
      </c>
      <c r="S168" s="136">
        <f t="shared" si="98"/>
        <v>8525794.8599999994</v>
      </c>
    </row>
    <row r="169" spans="1:19" ht="135">
      <c r="A169" s="225"/>
      <c r="B169" s="226"/>
      <c r="C169" s="124" t="s">
        <v>173</v>
      </c>
      <c r="D169" s="125" t="s">
        <v>101</v>
      </c>
      <c r="E169" s="120" t="s">
        <v>104</v>
      </c>
      <c r="F169" s="120" t="s">
        <v>104</v>
      </c>
      <c r="G169" s="120" t="s">
        <v>104</v>
      </c>
      <c r="H169" s="120" t="s">
        <v>104</v>
      </c>
      <c r="I169" s="120" t="s">
        <v>104</v>
      </c>
      <c r="J169" s="120" t="s">
        <v>104</v>
      </c>
      <c r="K169" s="120" t="s">
        <v>104</v>
      </c>
      <c r="L169" s="120" t="s">
        <v>104</v>
      </c>
      <c r="M169" s="120" t="s">
        <v>104</v>
      </c>
      <c r="N169" s="132"/>
      <c r="O169" s="132"/>
      <c r="P169" s="120" t="s">
        <v>104</v>
      </c>
      <c r="Q169" s="120" t="s">
        <v>104</v>
      </c>
      <c r="R169" s="136"/>
      <c r="S169" s="136"/>
    </row>
    <row r="170" spans="1:19">
      <c r="A170" s="225"/>
      <c r="B170" s="226"/>
      <c r="C170" s="124" t="s">
        <v>176</v>
      </c>
      <c r="D170" s="125" t="s">
        <v>101</v>
      </c>
      <c r="E170" s="126"/>
      <c r="F170" s="120">
        <v>20</v>
      </c>
      <c r="G170" s="121">
        <f t="shared" ref="G170:G185" si="159">((E170*8)+(F170*4))/12</f>
        <v>6.666666666666667</v>
      </c>
      <c r="H170" s="120">
        <v>20</v>
      </c>
      <c r="I170" s="120">
        <v>20</v>
      </c>
      <c r="J170" s="136">
        <f>K170</f>
        <v>63972.15</v>
      </c>
      <c r="K170" s="136">
        <v>63972.15</v>
      </c>
      <c r="L170" s="120" t="s">
        <v>104</v>
      </c>
      <c r="M170" s="120" t="s">
        <v>104</v>
      </c>
      <c r="N170" s="132">
        <f>O170</f>
        <v>426481</v>
      </c>
      <c r="O170" s="132">
        <f>G170*K170</f>
        <v>426481</v>
      </c>
      <c r="P170" s="120" t="s">
        <v>104</v>
      </c>
      <c r="Q170" s="120" t="s">
        <v>104</v>
      </c>
      <c r="R170" s="136">
        <f>H170*K170</f>
        <v>1279443</v>
      </c>
      <c r="S170" s="136">
        <f>I170*K170</f>
        <v>1279443</v>
      </c>
    </row>
    <row r="171" spans="1:19">
      <c r="A171" s="225"/>
      <c r="B171" s="226"/>
      <c r="C171" s="124" t="s">
        <v>183</v>
      </c>
      <c r="D171" s="125" t="s">
        <v>101</v>
      </c>
      <c r="E171" s="126"/>
      <c r="F171" s="120">
        <v>1</v>
      </c>
      <c r="G171" s="188">
        <f t="shared" si="159"/>
        <v>0.33333333333333331</v>
      </c>
      <c r="H171" s="120">
        <v>1</v>
      </c>
      <c r="I171" s="120">
        <v>1</v>
      </c>
      <c r="J171" s="136">
        <f t="shared" ref="J171:J172" si="160">K171</f>
        <v>95991.28</v>
      </c>
      <c r="K171" s="136">
        <v>95991.28</v>
      </c>
      <c r="L171" s="120" t="s">
        <v>104</v>
      </c>
      <c r="M171" s="120" t="s">
        <v>104</v>
      </c>
      <c r="N171" s="132">
        <f t="shared" ref="N171:N172" si="161">O171</f>
        <v>31997.093333333331</v>
      </c>
      <c r="O171" s="132">
        <f t="shared" ref="O171:O172" si="162">G171*K171</f>
        <v>31997.093333333331</v>
      </c>
      <c r="P171" s="120" t="s">
        <v>104</v>
      </c>
      <c r="Q171" s="120" t="s">
        <v>104</v>
      </c>
      <c r="R171" s="136">
        <f t="shared" ref="R171:R172" si="163">H171*K171</f>
        <v>95991.28</v>
      </c>
      <c r="S171" s="136">
        <f t="shared" ref="S171:S172" si="164">I171*K171</f>
        <v>95991.28</v>
      </c>
    </row>
    <row r="172" spans="1:19">
      <c r="A172" s="225"/>
      <c r="B172" s="226"/>
      <c r="C172" s="124" t="s">
        <v>179</v>
      </c>
      <c r="D172" s="125" t="s">
        <v>101</v>
      </c>
      <c r="E172" s="120">
        <v>5</v>
      </c>
      <c r="F172" s="120">
        <v>1</v>
      </c>
      <c r="G172" s="121">
        <f t="shared" si="159"/>
        <v>3.6666666666666665</v>
      </c>
      <c r="H172" s="120">
        <v>1</v>
      </c>
      <c r="I172" s="120">
        <v>1</v>
      </c>
      <c r="J172" s="136">
        <f t="shared" si="160"/>
        <v>22724.03</v>
      </c>
      <c r="K172" s="136">
        <v>22724.03</v>
      </c>
      <c r="L172" s="120" t="s">
        <v>104</v>
      </c>
      <c r="M172" s="120" t="s">
        <v>104</v>
      </c>
      <c r="N172" s="132">
        <f t="shared" si="161"/>
        <v>83321.443333333329</v>
      </c>
      <c r="O172" s="132">
        <f t="shared" si="162"/>
        <v>83321.443333333329</v>
      </c>
      <c r="P172" s="120" t="s">
        <v>104</v>
      </c>
      <c r="Q172" s="120" t="s">
        <v>104</v>
      </c>
      <c r="R172" s="136">
        <f t="shared" si="163"/>
        <v>22724.03</v>
      </c>
      <c r="S172" s="136">
        <f t="shared" si="164"/>
        <v>22724.03</v>
      </c>
    </row>
    <row r="173" spans="1:19" ht="120">
      <c r="A173" s="225"/>
      <c r="B173" s="226"/>
      <c r="C173" s="122" t="s">
        <v>105</v>
      </c>
      <c r="D173" s="125" t="s">
        <v>101</v>
      </c>
      <c r="E173" s="120">
        <v>3</v>
      </c>
      <c r="F173" s="120">
        <v>4</v>
      </c>
      <c r="G173" s="120">
        <f t="shared" si="159"/>
        <v>3.3333333333333335</v>
      </c>
      <c r="H173" s="120">
        <v>4</v>
      </c>
      <c r="I173" s="120">
        <v>4</v>
      </c>
      <c r="J173" s="136">
        <f>SUM(K173:M173)</f>
        <v>137159.02000000002</v>
      </c>
      <c r="K173" s="136">
        <f>116428.38+952.08</f>
        <v>117380.46</v>
      </c>
      <c r="L173" s="133">
        <v>3857.41</v>
      </c>
      <c r="M173" s="133">
        <v>15921.15</v>
      </c>
      <c r="N173" s="132">
        <f>SUM(O173:Q173)</f>
        <v>457196.73333333334</v>
      </c>
      <c r="O173" s="132">
        <f>G173*K173</f>
        <v>391268.2</v>
      </c>
      <c r="P173" s="132">
        <f>G173*L173</f>
        <v>12858.033333333333</v>
      </c>
      <c r="Q173" s="136">
        <f>G173*M173</f>
        <v>53070.5</v>
      </c>
      <c r="R173" s="136">
        <f t="shared" si="97"/>
        <v>548636.08000000007</v>
      </c>
      <c r="S173" s="136">
        <f t="shared" si="98"/>
        <v>548636.08000000007</v>
      </c>
    </row>
    <row r="174" spans="1:19">
      <c r="A174" s="225"/>
      <c r="B174" s="226"/>
      <c r="C174" s="127" t="s">
        <v>106</v>
      </c>
      <c r="D174" s="128"/>
      <c r="E174" s="120">
        <f>E168+E173</f>
        <v>198</v>
      </c>
      <c r="F174" s="120">
        <f t="shared" ref="F174:I174" si="165">F168+F173</f>
        <v>202</v>
      </c>
      <c r="G174" s="120">
        <f t="shared" si="165"/>
        <v>199.33333333333334</v>
      </c>
      <c r="H174" s="120">
        <f t="shared" si="165"/>
        <v>202</v>
      </c>
      <c r="I174" s="120">
        <f t="shared" si="165"/>
        <v>202</v>
      </c>
      <c r="J174" s="132" t="s">
        <v>104</v>
      </c>
      <c r="K174" s="132" t="s">
        <v>104</v>
      </c>
      <c r="L174" s="132" t="s">
        <v>104</v>
      </c>
      <c r="M174" s="132" t="s">
        <v>104</v>
      </c>
      <c r="N174" s="132">
        <f>SUM(N168:N173)</f>
        <v>9438671.9900000002</v>
      </c>
      <c r="O174" s="132">
        <f>SUM(O168:O173)</f>
        <v>5496145.6966666672</v>
      </c>
      <c r="P174" s="132">
        <f>SUM(P168:P173)</f>
        <v>768910.39333333331</v>
      </c>
      <c r="Q174" s="132">
        <f t="shared" ref="Q174:S174" si="166">SUM(Q168:Q173)</f>
        <v>3173615.9</v>
      </c>
      <c r="R174" s="132">
        <f t="shared" si="166"/>
        <v>10472589.249999998</v>
      </c>
      <c r="S174" s="132">
        <f t="shared" si="166"/>
        <v>10472589.249999998</v>
      </c>
    </row>
    <row r="175" spans="1:19" ht="90">
      <c r="A175" s="225"/>
      <c r="B175" s="226" t="s">
        <v>107</v>
      </c>
      <c r="C175" s="122" t="s">
        <v>100</v>
      </c>
      <c r="D175" s="123" t="s">
        <v>101</v>
      </c>
      <c r="E175" s="120">
        <v>171</v>
      </c>
      <c r="F175" s="120">
        <v>191</v>
      </c>
      <c r="G175" s="120">
        <f t="shared" si="159"/>
        <v>177.66666666666666</v>
      </c>
      <c r="H175" s="120">
        <v>191</v>
      </c>
      <c r="I175" s="120">
        <v>191</v>
      </c>
      <c r="J175" s="175">
        <f>SUM(K175:M175)</f>
        <v>54095.340000000004</v>
      </c>
      <c r="K175" s="175">
        <f>33147.58+1169.2</f>
        <v>34316.78</v>
      </c>
      <c r="L175" s="131">
        <v>3857.41</v>
      </c>
      <c r="M175" s="133">
        <v>15921.15</v>
      </c>
      <c r="N175" s="132">
        <f>SUM(O175:Q175)</f>
        <v>9610938.7400000002</v>
      </c>
      <c r="O175" s="132">
        <f>G175*K175</f>
        <v>6096947.9133333331</v>
      </c>
      <c r="P175" s="132">
        <f>G175*L175</f>
        <v>685333.17666666664</v>
      </c>
      <c r="Q175" s="132">
        <f>G175*M175</f>
        <v>2828657.65</v>
      </c>
      <c r="R175" s="136">
        <f t="shared" si="97"/>
        <v>10332209.940000001</v>
      </c>
      <c r="S175" s="136">
        <f t="shared" si="98"/>
        <v>10332209.940000001</v>
      </c>
    </row>
    <row r="176" spans="1:19" ht="135">
      <c r="A176" s="225"/>
      <c r="B176" s="226"/>
      <c r="C176" s="124" t="s">
        <v>173</v>
      </c>
      <c r="D176" s="125" t="s">
        <v>101</v>
      </c>
      <c r="E176" s="120" t="s">
        <v>104</v>
      </c>
      <c r="F176" s="120" t="s">
        <v>104</v>
      </c>
      <c r="G176" s="120" t="s">
        <v>104</v>
      </c>
      <c r="H176" s="120" t="s">
        <v>104</v>
      </c>
      <c r="I176" s="120" t="s">
        <v>104</v>
      </c>
      <c r="J176" s="120" t="s">
        <v>104</v>
      </c>
      <c r="K176" s="120" t="s">
        <v>104</v>
      </c>
      <c r="L176" s="120" t="s">
        <v>104</v>
      </c>
      <c r="M176" s="120" t="s">
        <v>104</v>
      </c>
      <c r="N176" s="132"/>
      <c r="O176" s="132"/>
      <c r="P176" s="120" t="s">
        <v>104</v>
      </c>
      <c r="Q176" s="120" t="s">
        <v>104</v>
      </c>
      <c r="R176" s="136"/>
      <c r="S176" s="136"/>
    </row>
    <row r="177" spans="1:19">
      <c r="A177" s="225"/>
      <c r="B177" s="226"/>
      <c r="C177" s="124" t="s">
        <v>174</v>
      </c>
      <c r="D177" s="125" t="s">
        <v>101</v>
      </c>
      <c r="E177" s="121"/>
      <c r="F177" s="121">
        <v>1</v>
      </c>
      <c r="G177" s="164">
        <f t="shared" si="159"/>
        <v>0.33333333333333331</v>
      </c>
      <c r="H177" s="121">
        <v>1</v>
      </c>
      <c r="I177" s="121">
        <v>1</v>
      </c>
      <c r="J177" s="136">
        <f>K177</f>
        <v>24684.9</v>
      </c>
      <c r="K177" s="136">
        <v>24684.9</v>
      </c>
      <c r="L177" s="120" t="s">
        <v>104</v>
      </c>
      <c r="M177" s="120" t="s">
        <v>104</v>
      </c>
      <c r="N177" s="132">
        <f>O177</f>
        <v>8228.2999999999993</v>
      </c>
      <c r="O177" s="132">
        <f t="shared" ref="O177:O179" si="167">G177*K177</f>
        <v>8228.2999999999993</v>
      </c>
      <c r="P177" s="120" t="s">
        <v>104</v>
      </c>
      <c r="Q177" s="120" t="s">
        <v>104</v>
      </c>
      <c r="R177" s="136">
        <f>H177*K177</f>
        <v>24684.9</v>
      </c>
      <c r="S177" s="136">
        <f t="shared" ref="S177:S179" si="168">I177*K177</f>
        <v>24684.9</v>
      </c>
    </row>
    <row r="178" spans="1:19">
      <c r="A178" s="225"/>
      <c r="B178" s="226"/>
      <c r="C178" s="124" t="s">
        <v>175</v>
      </c>
      <c r="D178" s="125" t="s">
        <v>101</v>
      </c>
      <c r="E178" s="121"/>
      <c r="F178" s="121">
        <v>1</v>
      </c>
      <c r="G178" s="164">
        <f t="shared" si="159"/>
        <v>0.33333333333333331</v>
      </c>
      <c r="H178" s="121">
        <v>1</v>
      </c>
      <c r="I178" s="121">
        <v>1</v>
      </c>
      <c r="J178" s="136">
        <f t="shared" ref="J178:J179" si="169">K178</f>
        <v>89075.19</v>
      </c>
      <c r="K178" s="136">
        <v>89075.19</v>
      </c>
      <c r="L178" s="120" t="s">
        <v>104</v>
      </c>
      <c r="M178" s="120" t="s">
        <v>104</v>
      </c>
      <c r="N178" s="132">
        <f t="shared" ref="N178:N179" si="170">O178</f>
        <v>29691.73</v>
      </c>
      <c r="O178" s="132">
        <f t="shared" si="167"/>
        <v>29691.73</v>
      </c>
      <c r="P178" s="120" t="s">
        <v>104</v>
      </c>
      <c r="Q178" s="120" t="s">
        <v>104</v>
      </c>
      <c r="R178" s="136">
        <f t="shared" ref="R178:R179" si="171">H178*K178</f>
        <v>89075.19</v>
      </c>
      <c r="S178" s="136">
        <f t="shared" si="168"/>
        <v>89075.19</v>
      </c>
    </row>
    <row r="179" spans="1:19">
      <c r="A179" s="225"/>
      <c r="B179" s="226"/>
      <c r="C179" s="124" t="s">
        <v>179</v>
      </c>
      <c r="D179" s="125" t="s">
        <v>101</v>
      </c>
      <c r="E179" s="121"/>
      <c r="F179" s="121">
        <v>4</v>
      </c>
      <c r="G179" s="164">
        <f t="shared" si="159"/>
        <v>1.3333333333333333</v>
      </c>
      <c r="H179" s="121">
        <v>4</v>
      </c>
      <c r="I179" s="121">
        <v>4</v>
      </c>
      <c r="J179" s="136">
        <f t="shared" si="169"/>
        <v>22724.03</v>
      </c>
      <c r="K179" s="136">
        <v>22724.03</v>
      </c>
      <c r="L179" s="120" t="s">
        <v>104</v>
      </c>
      <c r="M179" s="120" t="s">
        <v>104</v>
      </c>
      <c r="N179" s="132">
        <f t="shared" si="170"/>
        <v>30298.706666666665</v>
      </c>
      <c r="O179" s="132">
        <f t="shared" si="167"/>
        <v>30298.706666666665</v>
      </c>
      <c r="P179" s="120" t="s">
        <v>104</v>
      </c>
      <c r="Q179" s="120" t="s">
        <v>104</v>
      </c>
      <c r="R179" s="136">
        <f t="shared" si="171"/>
        <v>90896.12</v>
      </c>
      <c r="S179" s="136">
        <f t="shared" si="168"/>
        <v>90896.12</v>
      </c>
    </row>
    <row r="180" spans="1:19" ht="120">
      <c r="A180" s="225"/>
      <c r="B180" s="226"/>
      <c r="C180" s="122" t="s">
        <v>105</v>
      </c>
      <c r="D180" s="125" t="s">
        <v>101</v>
      </c>
      <c r="E180" s="121">
        <v>2</v>
      </c>
      <c r="F180" s="121">
        <v>4</v>
      </c>
      <c r="G180" s="164">
        <f t="shared" si="159"/>
        <v>2.6666666666666665</v>
      </c>
      <c r="H180" s="121">
        <v>4</v>
      </c>
      <c r="I180" s="121">
        <v>4</v>
      </c>
      <c r="J180" s="136">
        <f>SUM(K180:M180)</f>
        <v>166124.72</v>
      </c>
      <c r="K180" s="136">
        <f>145176.96+1169.2</f>
        <v>146346.16</v>
      </c>
      <c r="L180" s="133">
        <v>3857.41</v>
      </c>
      <c r="M180" s="133">
        <v>15921.15</v>
      </c>
      <c r="N180" s="134">
        <f>SUM(O180:Q180)</f>
        <v>442999.2533333333</v>
      </c>
      <c r="O180" s="134">
        <f>G180*K180</f>
        <v>390256.42666666664</v>
      </c>
      <c r="P180" s="134">
        <f>G180*L180</f>
        <v>10286.426666666666</v>
      </c>
      <c r="Q180" s="134">
        <f>G180*M180</f>
        <v>42456.399999999994</v>
      </c>
      <c r="R180" s="136">
        <f t="shared" si="97"/>
        <v>664498.88</v>
      </c>
      <c r="S180" s="136">
        <f t="shared" si="98"/>
        <v>664498.88</v>
      </c>
    </row>
    <row r="181" spans="1:19">
      <c r="A181" s="225"/>
      <c r="B181" s="178"/>
      <c r="C181" s="127" t="s">
        <v>106</v>
      </c>
      <c r="D181" s="125"/>
      <c r="E181" s="121">
        <f>E175+E180</f>
        <v>173</v>
      </c>
      <c r="F181" s="121">
        <f t="shared" ref="F181:I181" si="172">F175+F180</f>
        <v>195</v>
      </c>
      <c r="G181" s="121">
        <f t="shared" si="172"/>
        <v>180.33333333333331</v>
      </c>
      <c r="H181" s="121">
        <f t="shared" si="172"/>
        <v>195</v>
      </c>
      <c r="I181" s="121">
        <f t="shared" si="172"/>
        <v>195</v>
      </c>
      <c r="J181" s="134" t="s">
        <v>104</v>
      </c>
      <c r="K181" s="134" t="s">
        <v>104</v>
      </c>
      <c r="L181" s="134" t="s">
        <v>104</v>
      </c>
      <c r="M181" s="134" t="s">
        <v>104</v>
      </c>
      <c r="N181" s="135">
        <f>SUM(N175:N180)</f>
        <v>10122156.730000002</v>
      </c>
      <c r="O181" s="135">
        <f>SUM(O175:O180)</f>
        <v>6555423.0766666671</v>
      </c>
      <c r="P181" s="135">
        <f>SUM(P175:P180)</f>
        <v>695619.60333333327</v>
      </c>
      <c r="Q181" s="135">
        <f t="shared" ref="Q181:S181" si="173">SUM(Q175:Q180)</f>
        <v>2871114.05</v>
      </c>
      <c r="R181" s="135">
        <f t="shared" si="173"/>
        <v>11201365.030000001</v>
      </c>
      <c r="S181" s="135">
        <f t="shared" si="173"/>
        <v>11201365.030000001</v>
      </c>
    </row>
    <row r="182" spans="1:19" ht="90">
      <c r="A182" s="225"/>
      <c r="B182" s="226" t="s">
        <v>108</v>
      </c>
      <c r="C182" s="122" t="s">
        <v>100</v>
      </c>
      <c r="D182" s="123" t="s">
        <v>101</v>
      </c>
      <c r="E182" s="121">
        <v>35</v>
      </c>
      <c r="F182" s="121">
        <v>34</v>
      </c>
      <c r="G182" s="164">
        <f t="shared" si="159"/>
        <v>34.666666666666664</v>
      </c>
      <c r="H182" s="121">
        <v>34</v>
      </c>
      <c r="I182" s="121">
        <v>34</v>
      </c>
      <c r="J182" s="175">
        <f>SUM(K182:M182)</f>
        <v>60807.1</v>
      </c>
      <c r="K182" s="175">
        <f>39660.87+1367.67</f>
        <v>41028.54</v>
      </c>
      <c r="L182" s="131">
        <v>3857.41</v>
      </c>
      <c r="M182" s="133">
        <v>15921.15</v>
      </c>
      <c r="N182" s="134">
        <f>SUM(O182:Q182)</f>
        <v>2107979.4666666668</v>
      </c>
      <c r="O182" s="134">
        <f>G182*K182</f>
        <v>1422322.72</v>
      </c>
      <c r="P182" s="134">
        <f>G182*L182</f>
        <v>133723.54666666666</v>
      </c>
      <c r="Q182" s="134">
        <f>G182*M182</f>
        <v>551933.19999999995</v>
      </c>
      <c r="R182" s="136">
        <f t="shared" si="97"/>
        <v>2067441.4</v>
      </c>
      <c r="S182" s="136">
        <f t="shared" si="98"/>
        <v>2067441.4</v>
      </c>
    </row>
    <row r="183" spans="1:19" ht="135">
      <c r="A183" s="225"/>
      <c r="B183" s="226"/>
      <c r="C183" s="124" t="s">
        <v>173</v>
      </c>
      <c r="D183" s="125" t="s">
        <v>101</v>
      </c>
      <c r="E183" s="120" t="s">
        <v>104</v>
      </c>
      <c r="F183" s="120" t="s">
        <v>104</v>
      </c>
      <c r="G183" s="120" t="s">
        <v>104</v>
      </c>
      <c r="H183" s="120" t="s">
        <v>104</v>
      </c>
      <c r="I183" s="120" t="s">
        <v>104</v>
      </c>
      <c r="J183" s="120" t="s">
        <v>104</v>
      </c>
      <c r="K183" s="120" t="s">
        <v>104</v>
      </c>
      <c r="L183" s="120" t="s">
        <v>104</v>
      </c>
      <c r="M183" s="120" t="s">
        <v>104</v>
      </c>
      <c r="N183" s="132"/>
      <c r="O183" s="132"/>
      <c r="P183" s="120" t="s">
        <v>104</v>
      </c>
      <c r="Q183" s="120" t="s">
        <v>104</v>
      </c>
      <c r="R183" s="136"/>
      <c r="S183" s="136"/>
    </row>
    <row r="184" spans="1:19">
      <c r="A184" s="225"/>
      <c r="B184" s="226"/>
      <c r="C184" s="124" t="s">
        <v>175</v>
      </c>
      <c r="D184" s="125" t="s">
        <v>101</v>
      </c>
      <c r="E184" s="121"/>
      <c r="F184" s="121">
        <v>1</v>
      </c>
      <c r="G184" s="164">
        <f t="shared" si="159"/>
        <v>0.33333333333333331</v>
      </c>
      <c r="H184" s="121">
        <v>1</v>
      </c>
      <c r="I184" s="121">
        <v>1</v>
      </c>
      <c r="J184" s="136">
        <f>K184</f>
        <v>89075.19</v>
      </c>
      <c r="K184" s="136">
        <v>89075.19</v>
      </c>
      <c r="L184" s="120" t="s">
        <v>104</v>
      </c>
      <c r="M184" s="120" t="s">
        <v>104</v>
      </c>
      <c r="N184" s="132">
        <f>O184</f>
        <v>29691.73</v>
      </c>
      <c r="O184" s="132">
        <f>G184*K184</f>
        <v>29691.73</v>
      </c>
      <c r="P184" s="120" t="s">
        <v>104</v>
      </c>
      <c r="Q184" s="120" t="s">
        <v>104</v>
      </c>
      <c r="R184" s="136">
        <f>H184*K184</f>
        <v>89075.19</v>
      </c>
      <c r="S184" s="136">
        <f>I184*K184</f>
        <v>89075.19</v>
      </c>
    </row>
    <row r="185" spans="1:19" ht="120">
      <c r="A185" s="225"/>
      <c r="B185" s="226"/>
      <c r="C185" s="122" t="s">
        <v>105</v>
      </c>
      <c r="D185" s="125" t="s">
        <v>101</v>
      </c>
      <c r="E185" s="121"/>
      <c r="F185" s="121">
        <v>0</v>
      </c>
      <c r="G185" s="164">
        <f t="shared" si="159"/>
        <v>0</v>
      </c>
      <c r="H185" s="121">
        <v>0</v>
      </c>
      <c r="I185" s="121">
        <v>0</v>
      </c>
      <c r="J185" s="136">
        <f>SUM(K185:M185)</f>
        <v>195071.76</v>
      </c>
      <c r="K185" s="136">
        <f>173925.53+1367.67</f>
        <v>175293.2</v>
      </c>
      <c r="L185" s="133">
        <v>3857.41</v>
      </c>
      <c r="M185" s="133">
        <v>15921.15</v>
      </c>
      <c r="N185" s="134"/>
      <c r="O185" s="134"/>
      <c r="P185" s="134"/>
      <c r="Q185" s="134"/>
      <c r="R185" s="136">
        <f t="shared" si="97"/>
        <v>0</v>
      </c>
      <c r="S185" s="136">
        <f t="shared" si="98"/>
        <v>0</v>
      </c>
    </row>
    <row r="186" spans="1:19">
      <c r="A186" s="225"/>
      <c r="B186" s="178"/>
      <c r="C186" s="127" t="s">
        <v>106</v>
      </c>
      <c r="D186" s="125"/>
      <c r="E186" s="121">
        <f>E182+E185</f>
        <v>35</v>
      </c>
      <c r="F186" s="121">
        <f t="shared" ref="F186:I186" si="174">F182+F185</f>
        <v>34</v>
      </c>
      <c r="G186" s="121">
        <f t="shared" si="174"/>
        <v>34.666666666666664</v>
      </c>
      <c r="H186" s="121">
        <f t="shared" si="174"/>
        <v>34</v>
      </c>
      <c r="I186" s="121">
        <f t="shared" si="174"/>
        <v>34</v>
      </c>
      <c r="J186" s="134" t="s">
        <v>104</v>
      </c>
      <c r="K186" s="134" t="s">
        <v>104</v>
      </c>
      <c r="L186" s="134" t="s">
        <v>104</v>
      </c>
      <c r="M186" s="134" t="s">
        <v>104</v>
      </c>
      <c r="N186" s="135">
        <f>SUM(N182:N185)</f>
        <v>2137671.1966666668</v>
      </c>
      <c r="O186" s="135">
        <f>SUM(O182:O185)</f>
        <v>1452014.45</v>
      </c>
      <c r="P186" s="135">
        <f>SUM(P182:P185)</f>
        <v>133723.54666666666</v>
      </c>
      <c r="Q186" s="135">
        <f t="shared" ref="Q186:S186" si="175">SUM(Q182:Q185)</f>
        <v>551933.19999999995</v>
      </c>
      <c r="R186" s="135">
        <f t="shared" si="175"/>
        <v>2156516.59</v>
      </c>
      <c r="S186" s="135">
        <f t="shared" si="175"/>
        <v>2156516.59</v>
      </c>
    </row>
    <row r="187" spans="1:19" ht="165">
      <c r="A187" s="225"/>
      <c r="B187" s="227" t="s">
        <v>109</v>
      </c>
      <c r="C187" s="122" t="s">
        <v>110</v>
      </c>
      <c r="D187" s="125" t="s">
        <v>101</v>
      </c>
      <c r="E187" s="121">
        <v>258</v>
      </c>
      <c r="F187" s="121">
        <v>258</v>
      </c>
      <c r="G187" s="164">
        <f t="shared" ref="G187:G188" si="176">((E187*8)+(F187*4))/12</f>
        <v>258</v>
      </c>
      <c r="H187" s="121">
        <v>258</v>
      </c>
      <c r="I187" s="121">
        <v>258</v>
      </c>
      <c r="J187" s="136">
        <f>K187</f>
        <v>2770.76</v>
      </c>
      <c r="K187" s="136">
        <v>2770.76</v>
      </c>
      <c r="L187" s="134" t="s">
        <v>104</v>
      </c>
      <c r="M187" s="134" t="s">
        <v>104</v>
      </c>
      <c r="N187" s="134">
        <f>SUM(O187:Q187)</f>
        <v>714856.08000000007</v>
      </c>
      <c r="O187" s="134">
        <f>G187*K187</f>
        <v>714856.08000000007</v>
      </c>
      <c r="P187" s="134" t="s">
        <v>104</v>
      </c>
      <c r="Q187" s="134" t="s">
        <v>104</v>
      </c>
      <c r="R187" s="136">
        <f t="shared" si="97"/>
        <v>714856.08000000007</v>
      </c>
      <c r="S187" s="136">
        <f t="shared" si="98"/>
        <v>714856.08000000007</v>
      </c>
    </row>
    <row r="188" spans="1:19" ht="180">
      <c r="A188" s="225"/>
      <c r="B188" s="227"/>
      <c r="C188" s="122" t="s">
        <v>111</v>
      </c>
      <c r="D188" s="125" t="s">
        <v>101</v>
      </c>
      <c r="E188" s="121">
        <v>206</v>
      </c>
      <c r="F188" s="121">
        <v>206</v>
      </c>
      <c r="G188" s="164">
        <f t="shared" si="176"/>
        <v>206</v>
      </c>
      <c r="H188" s="121">
        <v>206</v>
      </c>
      <c r="I188" s="121">
        <v>206</v>
      </c>
      <c r="J188" s="136">
        <f>K188</f>
        <v>3829.24</v>
      </c>
      <c r="K188" s="136">
        <v>3829.24</v>
      </c>
      <c r="L188" s="134" t="s">
        <v>104</v>
      </c>
      <c r="M188" s="134" t="s">
        <v>104</v>
      </c>
      <c r="N188" s="134">
        <f>SUM(O188:Q188)</f>
        <v>788823.44</v>
      </c>
      <c r="O188" s="134">
        <f>G188*K188</f>
        <v>788823.44</v>
      </c>
      <c r="P188" s="134" t="s">
        <v>104</v>
      </c>
      <c r="Q188" s="134" t="s">
        <v>104</v>
      </c>
      <c r="R188" s="136">
        <f t="shared" si="97"/>
        <v>788823.44</v>
      </c>
      <c r="S188" s="136">
        <f t="shared" si="98"/>
        <v>788823.44</v>
      </c>
    </row>
    <row r="189" spans="1:19">
      <c r="A189" s="225"/>
      <c r="B189" s="130"/>
      <c r="C189" s="127" t="s">
        <v>106</v>
      </c>
      <c r="D189" s="130"/>
      <c r="E189" s="166">
        <f>SUM(E187:E188)</f>
        <v>464</v>
      </c>
      <c r="F189" s="166">
        <f t="shared" ref="F189:I189" si="177">SUM(F187:F188)</f>
        <v>464</v>
      </c>
      <c r="G189" s="166">
        <f t="shared" si="177"/>
        <v>464</v>
      </c>
      <c r="H189" s="166">
        <f t="shared" si="177"/>
        <v>464</v>
      </c>
      <c r="I189" s="166">
        <f t="shared" si="177"/>
        <v>464</v>
      </c>
      <c r="J189" s="134" t="s">
        <v>104</v>
      </c>
      <c r="K189" s="134" t="s">
        <v>104</v>
      </c>
      <c r="L189" s="134" t="s">
        <v>104</v>
      </c>
      <c r="M189" s="135">
        <f t="shared" ref="M189:Q189" si="178">SUM(M187:M188)</f>
        <v>0</v>
      </c>
      <c r="N189" s="135">
        <f>SUM(N187:N188)</f>
        <v>1503679.52</v>
      </c>
      <c r="O189" s="135">
        <f t="shared" si="178"/>
        <v>1503679.52</v>
      </c>
      <c r="P189" s="135">
        <f t="shared" si="178"/>
        <v>0</v>
      </c>
      <c r="Q189" s="135">
        <f t="shared" si="178"/>
        <v>0</v>
      </c>
      <c r="R189" s="136">
        <f>SUM(R187:R188)</f>
        <v>1503679.52</v>
      </c>
      <c r="S189" s="136">
        <f>SUM(S187:S188)</f>
        <v>1503679.52</v>
      </c>
    </row>
    <row r="190" spans="1:19">
      <c r="A190" s="225"/>
      <c r="B190" s="165" t="s">
        <v>112</v>
      </c>
      <c r="C190" s="165"/>
      <c r="D190" s="130"/>
      <c r="E190" s="166"/>
      <c r="F190" s="166"/>
      <c r="G190" s="166"/>
      <c r="H190" s="166"/>
      <c r="I190" s="166"/>
      <c r="J190" s="169"/>
      <c r="K190" s="169"/>
      <c r="L190" s="167"/>
      <c r="M190" s="167"/>
      <c r="N190" s="167">
        <f>SUM(O190:Q190)</f>
        <v>23202179.436666664</v>
      </c>
      <c r="O190" s="168">
        <f>O174+O181+O186+O189</f>
        <v>15007262.743333332</v>
      </c>
      <c r="P190" s="167">
        <f t="shared" ref="P190:S190" si="179">P174+P181+P186+P189</f>
        <v>1598253.5433333332</v>
      </c>
      <c r="Q190" s="167">
        <f t="shared" si="179"/>
        <v>6596663.1499999994</v>
      </c>
      <c r="R190" s="167">
        <f t="shared" si="179"/>
        <v>25334150.390000001</v>
      </c>
      <c r="S190" s="167">
        <f t="shared" si="179"/>
        <v>25334150.390000001</v>
      </c>
    </row>
    <row r="191" spans="1:19" ht="90">
      <c r="A191" s="225" t="s">
        <v>116</v>
      </c>
      <c r="B191" s="228" t="s">
        <v>99</v>
      </c>
      <c r="C191" s="122" t="s">
        <v>100</v>
      </c>
      <c r="D191" s="123" t="s">
        <v>101</v>
      </c>
      <c r="E191" s="120">
        <v>309</v>
      </c>
      <c r="F191" s="120">
        <v>329</v>
      </c>
      <c r="G191" s="164">
        <f t="shared" ref="G191" si="180">((E191*8)+(F191*4))/12</f>
        <v>315.66666666666669</v>
      </c>
      <c r="H191" s="120">
        <v>329</v>
      </c>
      <c r="I191" s="120">
        <v>329</v>
      </c>
      <c r="J191" s="175">
        <f>SUM(K191:M191)</f>
        <v>43059.57</v>
      </c>
      <c r="K191" s="175">
        <f>22328.93+952.08</f>
        <v>23281.010000000002</v>
      </c>
      <c r="L191" s="131">
        <v>3857.41</v>
      </c>
      <c r="M191" s="131">
        <v>15921.15</v>
      </c>
      <c r="N191" s="132">
        <f>SUM(O191:Q191)</f>
        <v>13592470.93</v>
      </c>
      <c r="O191" s="132">
        <f>G191*K191</f>
        <v>7349038.8233333342</v>
      </c>
      <c r="P191" s="132">
        <f>G191*L191</f>
        <v>1217655.7566666666</v>
      </c>
      <c r="Q191" s="136">
        <f>G191*M191</f>
        <v>5025776.3500000006</v>
      </c>
      <c r="R191" s="136">
        <f t="shared" si="97"/>
        <v>14166598.529999999</v>
      </c>
      <c r="S191" s="136">
        <f t="shared" si="98"/>
        <v>14166598.529999999</v>
      </c>
    </row>
    <row r="192" spans="1:19" ht="135">
      <c r="A192" s="225"/>
      <c r="B192" s="229"/>
      <c r="C192" s="124" t="s">
        <v>173</v>
      </c>
      <c r="D192" s="125" t="s">
        <v>101</v>
      </c>
      <c r="E192" s="120" t="s">
        <v>104</v>
      </c>
      <c r="F192" s="120" t="s">
        <v>104</v>
      </c>
      <c r="G192" s="120" t="s">
        <v>104</v>
      </c>
      <c r="H192" s="120" t="s">
        <v>104</v>
      </c>
      <c r="I192" s="120" t="s">
        <v>104</v>
      </c>
      <c r="J192" s="120" t="s">
        <v>104</v>
      </c>
      <c r="K192" s="120" t="s">
        <v>104</v>
      </c>
      <c r="L192" s="120" t="s">
        <v>104</v>
      </c>
      <c r="M192" s="120" t="s">
        <v>104</v>
      </c>
      <c r="N192" s="132"/>
      <c r="O192" s="132"/>
      <c r="P192" s="120" t="s">
        <v>104</v>
      </c>
      <c r="Q192" s="120" t="s">
        <v>104</v>
      </c>
      <c r="R192" s="136"/>
      <c r="S192" s="136"/>
    </row>
    <row r="193" spans="1:19">
      <c r="A193" s="225"/>
      <c r="B193" s="229"/>
      <c r="C193" s="124" t="s">
        <v>174</v>
      </c>
      <c r="D193" s="125" t="s">
        <v>101</v>
      </c>
      <c r="E193" s="120"/>
      <c r="F193" s="120">
        <v>1</v>
      </c>
      <c r="G193" s="164">
        <f t="shared" ref="G193:G198" si="181">((E193*8)+(F193*4))/12</f>
        <v>0.33333333333333331</v>
      </c>
      <c r="H193" s="120">
        <v>1</v>
      </c>
      <c r="I193" s="120">
        <v>1</v>
      </c>
      <c r="J193" s="136">
        <f t="shared" ref="J193:J196" si="182">K193</f>
        <v>24684.9</v>
      </c>
      <c r="K193" s="132">
        <v>24684.9</v>
      </c>
      <c r="L193" s="120" t="s">
        <v>104</v>
      </c>
      <c r="M193" s="120" t="s">
        <v>104</v>
      </c>
      <c r="N193" s="132">
        <f t="shared" ref="N193:N194" si="183">O193</f>
        <v>8228.2999999999993</v>
      </c>
      <c r="O193" s="132">
        <f>G193*K193</f>
        <v>8228.2999999999993</v>
      </c>
      <c r="P193" s="120" t="s">
        <v>104</v>
      </c>
      <c r="Q193" s="120" t="s">
        <v>104</v>
      </c>
      <c r="R193" s="136">
        <f>H193*K193</f>
        <v>24684.9</v>
      </c>
      <c r="S193" s="136">
        <f t="shared" ref="S193:S194" si="184">I193*K193</f>
        <v>24684.9</v>
      </c>
    </row>
    <row r="194" spans="1:19">
      <c r="A194" s="225"/>
      <c r="B194" s="229"/>
      <c r="C194" s="124" t="s">
        <v>182</v>
      </c>
      <c r="D194" s="125" t="s">
        <v>101</v>
      </c>
      <c r="E194" s="120"/>
      <c r="F194" s="120">
        <v>1</v>
      </c>
      <c r="G194" s="164">
        <f t="shared" si="181"/>
        <v>0.33333333333333331</v>
      </c>
      <c r="H194" s="120">
        <v>1</v>
      </c>
      <c r="I194" s="120">
        <v>1</v>
      </c>
      <c r="J194" s="136">
        <f t="shared" si="182"/>
        <v>66860.39</v>
      </c>
      <c r="K194" s="132">
        <v>66860.39</v>
      </c>
      <c r="L194" s="120" t="s">
        <v>104</v>
      </c>
      <c r="M194" s="120" t="s">
        <v>104</v>
      </c>
      <c r="N194" s="132">
        <f t="shared" si="183"/>
        <v>22286.796666666665</v>
      </c>
      <c r="O194" s="132">
        <f t="shared" ref="O194:O196" si="185">G194*K194</f>
        <v>22286.796666666665</v>
      </c>
      <c r="P194" s="120" t="s">
        <v>104</v>
      </c>
      <c r="Q194" s="120" t="s">
        <v>104</v>
      </c>
      <c r="R194" s="136">
        <f t="shared" ref="R194:R196" si="186">H194*K194</f>
        <v>66860.39</v>
      </c>
      <c r="S194" s="136">
        <f t="shared" si="184"/>
        <v>66860.39</v>
      </c>
    </row>
    <row r="195" spans="1:19">
      <c r="A195" s="225"/>
      <c r="B195" s="229"/>
      <c r="C195" s="124" t="s">
        <v>176</v>
      </c>
      <c r="D195" s="125" t="s">
        <v>101</v>
      </c>
      <c r="E195" s="120"/>
      <c r="F195" s="120">
        <v>2</v>
      </c>
      <c r="G195" s="164">
        <f t="shared" si="181"/>
        <v>0.66666666666666663</v>
      </c>
      <c r="H195" s="120">
        <v>2</v>
      </c>
      <c r="I195" s="120">
        <v>2</v>
      </c>
      <c r="J195" s="136">
        <f t="shared" si="182"/>
        <v>63972.15</v>
      </c>
      <c r="K195" s="136">
        <v>63972.15</v>
      </c>
      <c r="L195" s="120" t="s">
        <v>104</v>
      </c>
      <c r="M195" s="120" t="s">
        <v>104</v>
      </c>
      <c r="N195" s="132">
        <f>O195</f>
        <v>42648.1</v>
      </c>
      <c r="O195" s="132">
        <f t="shared" si="185"/>
        <v>42648.1</v>
      </c>
      <c r="P195" s="120" t="s">
        <v>104</v>
      </c>
      <c r="Q195" s="120" t="s">
        <v>104</v>
      </c>
      <c r="R195" s="136">
        <f t="shared" si="186"/>
        <v>127944.3</v>
      </c>
      <c r="S195" s="136">
        <f>I195*K195</f>
        <v>127944.3</v>
      </c>
    </row>
    <row r="196" spans="1:19">
      <c r="A196" s="225"/>
      <c r="B196" s="229"/>
      <c r="C196" s="124" t="s">
        <v>179</v>
      </c>
      <c r="D196" s="125" t="s">
        <v>101</v>
      </c>
      <c r="E196" s="120">
        <v>3</v>
      </c>
      <c r="F196" s="120">
        <v>1</v>
      </c>
      <c r="G196" s="164">
        <f t="shared" si="181"/>
        <v>2.3333333333333335</v>
      </c>
      <c r="H196" s="120">
        <v>1</v>
      </c>
      <c r="I196" s="120">
        <v>1</v>
      </c>
      <c r="J196" s="136">
        <f t="shared" si="182"/>
        <v>22724.03</v>
      </c>
      <c r="K196" s="136">
        <v>22724.03</v>
      </c>
      <c r="L196" s="120" t="s">
        <v>104</v>
      </c>
      <c r="M196" s="120" t="s">
        <v>104</v>
      </c>
      <c r="N196" s="132">
        <f>O196</f>
        <v>53022.736666666664</v>
      </c>
      <c r="O196" s="132">
        <f t="shared" si="185"/>
        <v>53022.736666666664</v>
      </c>
      <c r="P196" s="120" t="s">
        <v>104</v>
      </c>
      <c r="Q196" s="120" t="s">
        <v>104</v>
      </c>
      <c r="R196" s="136">
        <f t="shared" si="186"/>
        <v>22724.03</v>
      </c>
      <c r="S196" s="136">
        <f>I196*K196</f>
        <v>22724.03</v>
      </c>
    </row>
    <row r="197" spans="1:19" ht="120">
      <c r="A197" s="225"/>
      <c r="B197" s="229"/>
      <c r="C197" s="122" t="s">
        <v>105</v>
      </c>
      <c r="D197" s="125" t="s">
        <v>101</v>
      </c>
      <c r="E197" s="120">
        <v>2</v>
      </c>
      <c r="F197" s="120">
        <v>1</v>
      </c>
      <c r="G197" s="164">
        <f t="shared" si="181"/>
        <v>1.6666666666666667</v>
      </c>
      <c r="H197" s="120">
        <v>1</v>
      </c>
      <c r="I197" s="120">
        <v>1</v>
      </c>
      <c r="J197" s="136">
        <f>SUM(K197:M197)</f>
        <v>137159.02000000002</v>
      </c>
      <c r="K197" s="136">
        <f>116428.38+952.08</f>
        <v>117380.46</v>
      </c>
      <c r="L197" s="133">
        <v>3857.41</v>
      </c>
      <c r="M197" s="133">
        <v>15921.15</v>
      </c>
      <c r="N197" s="132">
        <f>SUM(O197:Q197)</f>
        <v>228598.36666666667</v>
      </c>
      <c r="O197" s="132">
        <f>G197*K197</f>
        <v>195634.1</v>
      </c>
      <c r="P197" s="132">
        <f>G197*L197</f>
        <v>6429.0166666666664</v>
      </c>
      <c r="Q197" s="136">
        <f>G197*M197</f>
        <v>26535.25</v>
      </c>
      <c r="R197" s="136">
        <f t="shared" ref="R197:R215" si="187">H197*J197</f>
        <v>137159.02000000002</v>
      </c>
      <c r="S197" s="136">
        <f t="shared" ref="S197:S215" si="188">I197*J197</f>
        <v>137159.02000000002</v>
      </c>
    </row>
    <row r="198" spans="1:19" ht="105">
      <c r="A198" s="225"/>
      <c r="B198" s="229"/>
      <c r="C198" s="122" t="s">
        <v>117</v>
      </c>
      <c r="D198" s="125" t="s">
        <v>101</v>
      </c>
      <c r="E198" s="120">
        <v>4</v>
      </c>
      <c r="F198" s="120">
        <v>4</v>
      </c>
      <c r="G198" s="120">
        <f t="shared" si="181"/>
        <v>4</v>
      </c>
      <c r="H198" s="120">
        <v>4</v>
      </c>
      <c r="I198" s="120">
        <v>4</v>
      </c>
      <c r="J198" s="136">
        <f>K198</f>
        <v>20712.060000000001</v>
      </c>
      <c r="K198" s="136">
        <v>20712.060000000001</v>
      </c>
      <c r="L198" s="133" t="s">
        <v>104</v>
      </c>
      <c r="M198" s="133" t="s">
        <v>104</v>
      </c>
      <c r="N198" s="132">
        <f>SUM(O198:Q198)</f>
        <v>82848.240000000005</v>
      </c>
      <c r="O198" s="132">
        <f>G198*K198</f>
        <v>82848.240000000005</v>
      </c>
      <c r="P198" s="132"/>
      <c r="Q198" s="132"/>
      <c r="R198" s="136">
        <f t="shared" si="187"/>
        <v>82848.240000000005</v>
      </c>
      <c r="S198" s="136">
        <f t="shared" si="188"/>
        <v>82848.240000000005</v>
      </c>
    </row>
    <row r="199" spans="1:19">
      <c r="A199" s="225"/>
      <c r="B199" s="230"/>
      <c r="C199" s="127" t="s">
        <v>106</v>
      </c>
      <c r="D199" s="128"/>
      <c r="E199" s="120">
        <f>E191+E197</f>
        <v>311</v>
      </c>
      <c r="F199" s="120">
        <f t="shared" ref="F199:I199" si="189">F191+F197</f>
        <v>330</v>
      </c>
      <c r="G199" s="120">
        <f t="shared" si="189"/>
        <v>317.33333333333337</v>
      </c>
      <c r="H199" s="120">
        <f t="shared" si="189"/>
        <v>330</v>
      </c>
      <c r="I199" s="120">
        <f t="shared" si="189"/>
        <v>330</v>
      </c>
      <c r="J199" s="132" t="s">
        <v>104</v>
      </c>
      <c r="K199" s="132" t="s">
        <v>104</v>
      </c>
      <c r="L199" s="132" t="s">
        <v>104</v>
      </c>
      <c r="M199" s="132" t="s">
        <v>104</v>
      </c>
      <c r="N199" s="132">
        <f>SUM(N191:N198)</f>
        <v>14030103.470000001</v>
      </c>
      <c r="O199" s="132">
        <f t="shared" ref="O199:S199" si="190">SUM(O191:O198)</f>
        <v>7753707.0966666667</v>
      </c>
      <c r="P199" s="132">
        <f t="shared" si="190"/>
        <v>1224084.7733333332</v>
      </c>
      <c r="Q199" s="132">
        <f t="shared" si="190"/>
        <v>5052311.6000000006</v>
      </c>
      <c r="R199" s="132">
        <f t="shared" si="190"/>
        <v>14628819.41</v>
      </c>
      <c r="S199" s="132">
        <f t="shared" si="190"/>
        <v>14628819.41</v>
      </c>
    </row>
    <row r="200" spans="1:19" ht="90">
      <c r="A200" s="225"/>
      <c r="B200" s="228" t="s">
        <v>107</v>
      </c>
      <c r="C200" s="122" t="s">
        <v>100</v>
      </c>
      <c r="D200" s="123" t="s">
        <v>101</v>
      </c>
      <c r="E200" s="120">
        <v>57</v>
      </c>
      <c r="F200" s="120">
        <v>77</v>
      </c>
      <c r="G200" s="164">
        <f t="shared" ref="G200:G211" si="191">((E200*8)+(F200*4))/12</f>
        <v>63.666666666666664</v>
      </c>
      <c r="H200" s="120">
        <v>77</v>
      </c>
      <c r="I200" s="120">
        <v>77</v>
      </c>
      <c r="J200" s="175">
        <f>SUM(K200:M200)</f>
        <v>54095.340000000004</v>
      </c>
      <c r="K200" s="175">
        <f>33147.58+1169.2</f>
        <v>34316.78</v>
      </c>
      <c r="L200" s="131">
        <v>3857.41</v>
      </c>
      <c r="M200" s="133">
        <v>15921.15</v>
      </c>
      <c r="N200" s="132">
        <f>SUM(O200:Q200)</f>
        <v>3444069.9799999995</v>
      </c>
      <c r="O200" s="132">
        <f>G200*K200</f>
        <v>2184834.9933333332</v>
      </c>
      <c r="P200" s="132">
        <f>G200*L200</f>
        <v>245588.43666666665</v>
      </c>
      <c r="Q200" s="132">
        <f>G200*M200</f>
        <v>1013646.5499999999</v>
      </c>
      <c r="R200" s="136">
        <f t="shared" si="187"/>
        <v>4165341.18</v>
      </c>
      <c r="S200" s="136">
        <f t="shared" si="188"/>
        <v>4165341.18</v>
      </c>
    </row>
    <row r="201" spans="1:19" ht="120">
      <c r="A201" s="225"/>
      <c r="B201" s="229"/>
      <c r="C201" s="122" t="s">
        <v>118</v>
      </c>
      <c r="D201" s="123" t="s">
        <v>101</v>
      </c>
      <c r="E201" s="120">
        <v>326</v>
      </c>
      <c r="F201" s="120">
        <v>307</v>
      </c>
      <c r="G201" s="164">
        <f t="shared" si="191"/>
        <v>319.66666666666669</v>
      </c>
      <c r="H201" s="120">
        <v>307</v>
      </c>
      <c r="I201" s="120">
        <v>307</v>
      </c>
      <c r="J201" s="175">
        <f>SUM(K201:M201)</f>
        <v>57407.18</v>
      </c>
      <c r="K201" s="175">
        <f>36459.42+1169.2</f>
        <v>37628.619999999995</v>
      </c>
      <c r="L201" s="131">
        <v>3857.41</v>
      </c>
      <c r="M201" s="133">
        <v>15921.15</v>
      </c>
      <c r="N201" s="132">
        <f>SUM(O201:Q201)</f>
        <v>18351161.873333331</v>
      </c>
      <c r="O201" s="132">
        <f t="shared" ref="O201" si="192">G201*K201</f>
        <v>12028615.526666665</v>
      </c>
      <c r="P201" s="132">
        <f>G201*L201</f>
        <v>1233085.3966666667</v>
      </c>
      <c r="Q201" s="132">
        <f>G201*M201</f>
        <v>5089460.95</v>
      </c>
      <c r="R201" s="136">
        <f t="shared" si="187"/>
        <v>17624004.260000002</v>
      </c>
      <c r="S201" s="136">
        <f t="shared" si="188"/>
        <v>17624004.260000002</v>
      </c>
    </row>
    <row r="202" spans="1:19" ht="120">
      <c r="A202" s="225"/>
      <c r="B202" s="229"/>
      <c r="C202" s="124" t="s">
        <v>102</v>
      </c>
      <c r="D202" s="125" t="s">
        <v>101</v>
      </c>
      <c r="E202" s="120" t="s">
        <v>104</v>
      </c>
      <c r="F202" s="120" t="s">
        <v>104</v>
      </c>
      <c r="G202" s="120" t="s">
        <v>104</v>
      </c>
      <c r="H202" s="120" t="s">
        <v>104</v>
      </c>
      <c r="I202" s="120" t="s">
        <v>104</v>
      </c>
      <c r="J202" s="120" t="s">
        <v>104</v>
      </c>
      <c r="K202" s="120" t="s">
        <v>104</v>
      </c>
      <c r="L202" s="120" t="s">
        <v>104</v>
      </c>
      <c r="M202" s="120" t="s">
        <v>104</v>
      </c>
      <c r="N202" s="132"/>
      <c r="O202" s="132"/>
      <c r="P202" s="120" t="s">
        <v>104</v>
      </c>
      <c r="Q202" s="120" t="s">
        <v>104</v>
      </c>
      <c r="R202" s="136"/>
      <c r="S202" s="136"/>
    </row>
    <row r="203" spans="1:19">
      <c r="A203" s="225"/>
      <c r="B203" s="229"/>
      <c r="C203" s="124" t="s">
        <v>185</v>
      </c>
      <c r="D203" s="125" t="s">
        <v>101</v>
      </c>
      <c r="E203" s="121"/>
      <c r="F203" s="121">
        <v>1</v>
      </c>
      <c r="G203" s="164">
        <f t="shared" si="191"/>
        <v>0.33333333333333331</v>
      </c>
      <c r="H203" s="121">
        <v>1</v>
      </c>
      <c r="I203" s="121">
        <v>1</v>
      </c>
      <c r="J203" s="136">
        <f>K203</f>
        <v>66860.39</v>
      </c>
      <c r="K203" s="136">
        <v>66860.39</v>
      </c>
      <c r="L203" s="120" t="s">
        <v>104</v>
      </c>
      <c r="M203" s="120" t="s">
        <v>104</v>
      </c>
      <c r="N203" s="132">
        <f>O203</f>
        <v>22286.796666666665</v>
      </c>
      <c r="O203" s="132">
        <f>G203*K203</f>
        <v>22286.796666666665</v>
      </c>
      <c r="P203" s="120" t="s">
        <v>104</v>
      </c>
      <c r="Q203" s="120" t="s">
        <v>104</v>
      </c>
      <c r="R203" s="136">
        <f>H203*K203</f>
        <v>66860.39</v>
      </c>
      <c r="S203" s="136">
        <f>I203*K203</f>
        <v>66860.39</v>
      </c>
    </row>
    <row r="204" spans="1:19">
      <c r="A204" s="225"/>
      <c r="B204" s="229"/>
      <c r="C204" s="124" t="s">
        <v>179</v>
      </c>
      <c r="D204" s="125" t="s">
        <v>101</v>
      </c>
      <c r="E204" s="121">
        <v>1</v>
      </c>
      <c r="F204" s="121">
        <v>1</v>
      </c>
      <c r="G204" s="164">
        <f t="shared" si="191"/>
        <v>1</v>
      </c>
      <c r="H204" s="121">
        <v>1</v>
      </c>
      <c r="I204" s="121">
        <v>1</v>
      </c>
      <c r="J204" s="136">
        <f>K204</f>
        <v>22724.03</v>
      </c>
      <c r="K204" s="136">
        <v>22724.03</v>
      </c>
      <c r="L204" s="120" t="s">
        <v>104</v>
      </c>
      <c r="M204" s="120" t="s">
        <v>104</v>
      </c>
      <c r="N204" s="132">
        <f>O204</f>
        <v>22724.03</v>
      </c>
      <c r="O204" s="132">
        <f>G204*K204</f>
        <v>22724.03</v>
      </c>
      <c r="P204" s="120" t="s">
        <v>104</v>
      </c>
      <c r="Q204" s="120" t="s">
        <v>104</v>
      </c>
      <c r="R204" s="136">
        <f>H204*K204</f>
        <v>22724.03</v>
      </c>
      <c r="S204" s="136">
        <f>I204*K204</f>
        <v>22724.03</v>
      </c>
    </row>
    <row r="205" spans="1:19" ht="120">
      <c r="A205" s="225"/>
      <c r="B205" s="229"/>
      <c r="C205" s="122" t="s">
        <v>105</v>
      </c>
      <c r="D205" s="125" t="s">
        <v>101</v>
      </c>
      <c r="E205" s="121"/>
      <c r="F205" s="121"/>
      <c r="G205" s="121"/>
      <c r="H205" s="121"/>
      <c r="I205" s="121"/>
      <c r="J205" s="136">
        <f>SUM(K205:M205)</f>
        <v>166124.72</v>
      </c>
      <c r="K205" s="136">
        <f>145176.96+1169.2</f>
        <v>146346.16</v>
      </c>
      <c r="L205" s="133">
        <v>3857.41</v>
      </c>
      <c r="M205" s="133">
        <v>15921.15</v>
      </c>
      <c r="N205" s="134">
        <f>SUM(O205:Q205)</f>
        <v>0</v>
      </c>
      <c r="O205" s="134">
        <f>E205*K205</f>
        <v>0</v>
      </c>
      <c r="P205" s="134">
        <f>E205*L205</f>
        <v>0</v>
      </c>
      <c r="Q205" s="134">
        <f>E205*M205</f>
        <v>0</v>
      </c>
      <c r="R205" s="136">
        <f t="shared" si="187"/>
        <v>0</v>
      </c>
      <c r="S205" s="136">
        <f t="shared" si="188"/>
        <v>0</v>
      </c>
    </row>
    <row r="206" spans="1:19" ht="105">
      <c r="A206" s="225"/>
      <c r="B206" s="229"/>
      <c r="C206" s="122" t="s">
        <v>117</v>
      </c>
      <c r="D206" s="125" t="s">
        <v>101</v>
      </c>
      <c r="E206" s="121">
        <v>3</v>
      </c>
      <c r="F206" s="121">
        <v>3</v>
      </c>
      <c r="G206" s="164">
        <f t="shared" si="191"/>
        <v>3</v>
      </c>
      <c r="H206" s="121">
        <v>3</v>
      </c>
      <c r="I206" s="121">
        <v>3</v>
      </c>
      <c r="J206" s="136">
        <f>K206</f>
        <v>32794.07</v>
      </c>
      <c r="K206" s="136">
        <f>32794.07</f>
        <v>32794.07</v>
      </c>
      <c r="L206" s="133" t="s">
        <v>104</v>
      </c>
      <c r="M206" s="133" t="s">
        <v>104</v>
      </c>
      <c r="N206" s="134">
        <f>SUM(O206:Q206)</f>
        <v>98382.209999999992</v>
      </c>
      <c r="O206" s="134">
        <f>E206*K206</f>
        <v>98382.209999999992</v>
      </c>
      <c r="P206" s="134"/>
      <c r="Q206" s="134"/>
      <c r="R206" s="136">
        <f t="shared" si="187"/>
        <v>98382.209999999992</v>
      </c>
      <c r="S206" s="136">
        <f t="shared" si="188"/>
        <v>98382.209999999992</v>
      </c>
    </row>
    <row r="207" spans="1:19">
      <c r="A207" s="225"/>
      <c r="B207" s="230"/>
      <c r="C207" s="127" t="s">
        <v>106</v>
      </c>
      <c r="D207" s="125"/>
      <c r="E207" s="121">
        <f>E200++E201+E205</f>
        <v>383</v>
      </c>
      <c r="F207" s="121">
        <f t="shared" ref="F207:I207" si="193">F200++F201+F205</f>
        <v>384</v>
      </c>
      <c r="G207" s="121">
        <f t="shared" si="193"/>
        <v>383.33333333333337</v>
      </c>
      <c r="H207" s="121">
        <f t="shared" si="193"/>
        <v>384</v>
      </c>
      <c r="I207" s="121">
        <f t="shared" si="193"/>
        <v>384</v>
      </c>
      <c r="J207" s="134" t="s">
        <v>104</v>
      </c>
      <c r="K207" s="134" t="s">
        <v>104</v>
      </c>
      <c r="L207" s="135" t="s">
        <v>104</v>
      </c>
      <c r="M207" s="135" t="s">
        <v>104</v>
      </c>
      <c r="N207" s="135">
        <f>SUM(N200:N206)</f>
        <v>21938624.890000001</v>
      </c>
      <c r="O207" s="135">
        <f t="shared" ref="O207:S207" si="194">SUM(O200:O206)</f>
        <v>14356843.556666667</v>
      </c>
      <c r="P207" s="135">
        <f t="shared" si="194"/>
        <v>1478673.8333333335</v>
      </c>
      <c r="Q207" s="135">
        <f t="shared" si="194"/>
        <v>6103107.5</v>
      </c>
      <c r="R207" s="135">
        <f t="shared" si="194"/>
        <v>21977312.070000004</v>
      </c>
      <c r="S207" s="135">
        <f t="shared" si="194"/>
        <v>21977312.070000004</v>
      </c>
    </row>
    <row r="208" spans="1:19" ht="90">
      <c r="A208" s="225"/>
      <c r="B208" s="228" t="s">
        <v>108</v>
      </c>
      <c r="C208" s="122" t="s">
        <v>100</v>
      </c>
      <c r="D208" s="123" t="s">
        <v>101</v>
      </c>
      <c r="E208" s="121">
        <v>106</v>
      </c>
      <c r="F208" s="121">
        <v>94</v>
      </c>
      <c r="G208" s="164">
        <f t="shared" si="191"/>
        <v>102</v>
      </c>
      <c r="H208" s="121">
        <v>94</v>
      </c>
      <c r="I208" s="121">
        <v>94</v>
      </c>
      <c r="J208" s="175">
        <f>SUM(K208:M208)</f>
        <v>60807.1</v>
      </c>
      <c r="K208" s="175">
        <f>39660.87+1367.67</f>
        <v>41028.54</v>
      </c>
      <c r="L208" s="131">
        <v>3857.41</v>
      </c>
      <c r="M208" s="133">
        <v>15921.15</v>
      </c>
      <c r="N208" s="134">
        <f>SUM(O208:Q208)</f>
        <v>6202324.2000000002</v>
      </c>
      <c r="O208" s="134">
        <f>G208*K208</f>
        <v>4184911.08</v>
      </c>
      <c r="P208" s="134">
        <f>G208*L208</f>
        <v>393455.82</v>
      </c>
      <c r="Q208" s="134">
        <f>G208*M208</f>
        <v>1623957.3</v>
      </c>
      <c r="R208" s="136">
        <f t="shared" si="187"/>
        <v>5715867.3999999994</v>
      </c>
      <c r="S208" s="136">
        <f t="shared" si="188"/>
        <v>5715867.3999999994</v>
      </c>
    </row>
    <row r="209" spans="1:22" ht="119.25">
      <c r="A209" s="225"/>
      <c r="B209" s="229"/>
      <c r="C209" s="122" t="s">
        <v>186</v>
      </c>
      <c r="D209" s="123" t="s">
        <v>101</v>
      </c>
      <c r="E209" s="121"/>
      <c r="F209" s="121">
        <v>25</v>
      </c>
      <c r="G209" s="164">
        <f t="shared" si="191"/>
        <v>8.3333333333333339</v>
      </c>
      <c r="H209" s="121">
        <v>25</v>
      </c>
      <c r="I209" s="121">
        <v>25</v>
      </c>
      <c r="J209" s="175">
        <f>SUM(K209:M209)</f>
        <v>101726.70999999999</v>
      </c>
      <c r="K209" s="175">
        <f>80580.48+1367.67</f>
        <v>81948.149999999994</v>
      </c>
      <c r="L209" s="131">
        <v>3857.41</v>
      </c>
      <c r="M209" s="133">
        <v>15921.15</v>
      </c>
      <c r="N209" s="134">
        <f>SUM(O209:Q209)</f>
        <v>847722.58333333337</v>
      </c>
      <c r="O209" s="134">
        <f>G209*K209</f>
        <v>682901.25</v>
      </c>
      <c r="P209" s="134">
        <f>G209*L209</f>
        <v>32145.083333333336</v>
      </c>
      <c r="Q209" s="134">
        <f>G209*M209</f>
        <v>132676.25</v>
      </c>
      <c r="R209" s="136">
        <f t="shared" si="187"/>
        <v>2543167.75</v>
      </c>
      <c r="S209" s="136">
        <f t="shared" si="188"/>
        <v>2543167.75</v>
      </c>
    </row>
    <row r="210" spans="1:22" ht="120">
      <c r="A210" s="225"/>
      <c r="B210" s="229"/>
      <c r="C210" s="124" t="s">
        <v>102</v>
      </c>
      <c r="D210" s="125" t="s">
        <v>101</v>
      </c>
      <c r="E210" s="120" t="s">
        <v>104</v>
      </c>
      <c r="F210" s="120" t="s">
        <v>104</v>
      </c>
      <c r="G210" s="120" t="s">
        <v>104</v>
      </c>
      <c r="H210" s="120" t="s">
        <v>104</v>
      </c>
      <c r="I210" s="120" t="s">
        <v>104</v>
      </c>
      <c r="J210" s="120" t="s">
        <v>104</v>
      </c>
      <c r="K210" s="120" t="s">
        <v>104</v>
      </c>
      <c r="L210" s="120" t="s">
        <v>104</v>
      </c>
      <c r="M210" s="120" t="s">
        <v>104</v>
      </c>
      <c r="N210" s="132"/>
      <c r="O210" s="132"/>
      <c r="P210" s="120" t="s">
        <v>104</v>
      </c>
      <c r="Q210" s="120" t="s">
        <v>104</v>
      </c>
      <c r="R210" s="136"/>
      <c r="S210" s="136"/>
    </row>
    <row r="211" spans="1:22">
      <c r="A211" s="225"/>
      <c r="B211" s="229"/>
      <c r="C211" s="124" t="s">
        <v>179</v>
      </c>
      <c r="D211" s="125" t="s">
        <v>101</v>
      </c>
      <c r="E211" s="121">
        <v>1</v>
      </c>
      <c r="F211" s="121">
        <v>2</v>
      </c>
      <c r="G211" s="164">
        <f t="shared" si="191"/>
        <v>1.3333333333333333</v>
      </c>
      <c r="H211" s="121">
        <v>2</v>
      </c>
      <c r="I211" s="121">
        <v>2</v>
      </c>
      <c r="J211" s="136">
        <f>K211</f>
        <v>22724.03</v>
      </c>
      <c r="K211" s="136">
        <v>22724.03</v>
      </c>
      <c r="L211" s="120" t="s">
        <v>104</v>
      </c>
      <c r="M211" s="120" t="s">
        <v>104</v>
      </c>
      <c r="N211" s="132">
        <f>O211</f>
        <v>30298.706666666665</v>
      </c>
      <c r="O211" s="132">
        <f>G211*K211</f>
        <v>30298.706666666665</v>
      </c>
      <c r="P211" s="120" t="s">
        <v>104</v>
      </c>
      <c r="Q211" s="120" t="s">
        <v>104</v>
      </c>
      <c r="R211" s="136">
        <f>H211*K211</f>
        <v>45448.06</v>
      </c>
      <c r="S211" s="136">
        <f>I211*K211</f>
        <v>45448.06</v>
      </c>
    </row>
    <row r="212" spans="1:22" ht="120">
      <c r="A212" s="225"/>
      <c r="B212" s="229"/>
      <c r="C212" s="122" t="s">
        <v>105</v>
      </c>
      <c r="D212" s="125" t="s">
        <v>101</v>
      </c>
      <c r="E212" s="121"/>
      <c r="F212" s="121"/>
      <c r="G212" s="121"/>
      <c r="H212" s="121"/>
      <c r="I212" s="121"/>
      <c r="J212" s="136">
        <f>SUM(K212:M212)</f>
        <v>195071.76</v>
      </c>
      <c r="K212" s="136">
        <f>173925.53+1367.67</f>
        <v>175293.2</v>
      </c>
      <c r="L212" s="133">
        <v>3857.41</v>
      </c>
      <c r="M212" s="133">
        <v>15921.15</v>
      </c>
      <c r="N212" s="134"/>
      <c r="O212" s="134"/>
      <c r="P212" s="134"/>
      <c r="Q212" s="134"/>
      <c r="R212" s="136">
        <f t="shared" si="187"/>
        <v>0</v>
      </c>
      <c r="S212" s="136">
        <f t="shared" si="188"/>
        <v>0</v>
      </c>
    </row>
    <row r="213" spans="1:22">
      <c r="A213" s="225"/>
      <c r="B213" s="230"/>
      <c r="C213" s="127" t="s">
        <v>106</v>
      </c>
      <c r="D213" s="125"/>
      <c r="E213" s="121">
        <f>E208+E212</f>
        <v>106</v>
      </c>
      <c r="F213" s="121">
        <f t="shared" ref="F213:I213" si="195">F208+F212</f>
        <v>94</v>
      </c>
      <c r="G213" s="121">
        <f t="shared" si="195"/>
        <v>102</v>
      </c>
      <c r="H213" s="121">
        <f t="shared" si="195"/>
        <v>94</v>
      </c>
      <c r="I213" s="121">
        <f t="shared" si="195"/>
        <v>94</v>
      </c>
      <c r="J213" s="134" t="s">
        <v>104</v>
      </c>
      <c r="K213" s="134" t="s">
        <v>104</v>
      </c>
      <c r="L213" s="135" t="s">
        <v>104</v>
      </c>
      <c r="M213" s="135" t="s">
        <v>104</v>
      </c>
      <c r="N213" s="135">
        <f>SUM(N208:N212)</f>
        <v>7080345.4900000002</v>
      </c>
      <c r="O213" s="135">
        <f t="shared" ref="O213:S213" si="196">SUM(O208:O212)</f>
        <v>4898111.0366666671</v>
      </c>
      <c r="P213" s="135">
        <f t="shared" si="196"/>
        <v>425600.90333333332</v>
      </c>
      <c r="Q213" s="135">
        <f t="shared" si="196"/>
        <v>1756633.55</v>
      </c>
      <c r="R213" s="135">
        <f t="shared" si="196"/>
        <v>8304483.209999999</v>
      </c>
      <c r="S213" s="135">
        <f t="shared" si="196"/>
        <v>8304483.209999999</v>
      </c>
    </row>
    <row r="214" spans="1:22" ht="165">
      <c r="A214" s="225"/>
      <c r="B214" s="227" t="s">
        <v>109</v>
      </c>
      <c r="C214" s="122" t="s">
        <v>110</v>
      </c>
      <c r="D214" s="125" t="s">
        <v>101</v>
      </c>
      <c r="E214" s="121">
        <v>509</v>
      </c>
      <c r="F214" s="121">
        <v>509</v>
      </c>
      <c r="G214" s="164">
        <f t="shared" ref="G214:G215" si="197">((E214*8)+(F214*4))/12</f>
        <v>509</v>
      </c>
      <c r="H214" s="121">
        <v>509</v>
      </c>
      <c r="I214" s="121">
        <v>509</v>
      </c>
      <c r="J214" s="136">
        <f>K214</f>
        <v>2770.76</v>
      </c>
      <c r="K214" s="136">
        <v>2770.76</v>
      </c>
      <c r="L214" s="133" t="s">
        <v>104</v>
      </c>
      <c r="M214" s="133" t="s">
        <v>104</v>
      </c>
      <c r="N214" s="134">
        <f>SUM(O214:Q214)</f>
        <v>1410316.84</v>
      </c>
      <c r="O214" s="134">
        <f>G214*K214</f>
        <v>1410316.84</v>
      </c>
      <c r="P214" s="134" t="s">
        <v>104</v>
      </c>
      <c r="Q214" s="134" t="s">
        <v>104</v>
      </c>
      <c r="R214" s="136">
        <f t="shared" si="187"/>
        <v>1410316.84</v>
      </c>
      <c r="S214" s="136">
        <f t="shared" si="188"/>
        <v>1410316.84</v>
      </c>
    </row>
    <row r="215" spans="1:22" ht="180">
      <c r="A215" s="225"/>
      <c r="B215" s="227"/>
      <c r="C215" s="122" t="s">
        <v>184</v>
      </c>
      <c r="D215" s="125" t="s">
        <v>101</v>
      </c>
      <c r="E215" s="121">
        <v>622</v>
      </c>
      <c r="F215" s="121">
        <v>622</v>
      </c>
      <c r="G215" s="164">
        <f t="shared" si="197"/>
        <v>622</v>
      </c>
      <c r="H215" s="121">
        <v>622</v>
      </c>
      <c r="I215" s="121">
        <v>622</v>
      </c>
      <c r="J215" s="136">
        <v>3829.24</v>
      </c>
      <c r="K215" s="136">
        <f>J215</f>
        <v>3829.24</v>
      </c>
      <c r="L215" s="133" t="s">
        <v>104</v>
      </c>
      <c r="M215" s="133" t="s">
        <v>104</v>
      </c>
      <c r="N215" s="134">
        <f>SUM(O215:Q215)</f>
        <v>2381787.2799999998</v>
      </c>
      <c r="O215" s="134">
        <f>G215*K215</f>
        <v>2381787.2799999998</v>
      </c>
      <c r="P215" s="169" t="s">
        <v>104</v>
      </c>
      <c r="Q215" s="167" t="s">
        <v>104</v>
      </c>
      <c r="R215" s="136">
        <f t="shared" si="187"/>
        <v>2381787.2799999998</v>
      </c>
      <c r="S215" s="136">
        <f t="shared" si="188"/>
        <v>2381787.2799999998</v>
      </c>
    </row>
    <row r="216" spans="1:22">
      <c r="A216" s="225"/>
      <c r="B216" s="130"/>
      <c r="C216" s="127" t="s">
        <v>106</v>
      </c>
      <c r="D216" s="130"/>
      <c r="E216" s="166">
        <f>SUM(E214:E215)</f>
        <v>1131</v>
      </c>
      <c r="F216" s="166">
        <f t="shared" ref="F216:I216" si="198">SUM(F214:F215)</f>
        <v>1131</v>
      </c>
      <c r="G216" s="166">
        <f t="shared" si="198"/>
        <v>1131</v>
      </c>
      <c r="H216" s="166">
        <f t="shared" si="198"/>
        <v>1131</v>
      </c>
      <c r="I216" s="166">
        <f t="shared" si="198"/>
        <v>1131</v>
      </c>
      <c r="J216" s="134" t="s">
        <v>104</v>
      </c>
      <c r="K216" s="134" t="s">
        <v>104</v>
      </c>
      <c r="L216" s="135" t="s">
        <v>104</v>
      </c>
      <c r="M216" s="135">
        <f t="shared" ref="M216:Q216" si="199">SUM(M214:M215)</f>
        <v>0</v>
      </c>
      <c r="N216" s="135">
        <f t="shared" si="199"/>
        <v>3792104.12</v>
      </c>
      <c r="O216" s="135">
        <f t="shared" si="199"/>
        <v>3792104.12</v>
      </c>
      <c r="P216" s="135">
        <f t="shared" si="199"/>
        <v>0</v>
      </c>
      <c r="Q216" s="135">
        <f t="shared" si="199"/>
        <v>0</v>
      </c>
      <c r="R216" s="136">
        <f>SUM(R214:R215)</f>
        <v>3792104.12</v>
      </c>
      <c r="S216" s="136">
        <f>SUM(S214:S215)</f>
        <v>3792104.12</v>
      </c>
    </row>
    <row r="217" spans="1:22">
      <c r="A217" s="225"/>
      <c r="B217" s="165" t="s">
        <v>112</v>
      </c>
      <c r="C217" s="165"/>
      <c r="D217" s="130"/>
      <c r="E217" s="166"/>
      <c r="F217" s="166"/>
      <c r="G217" s="166"/>
      <c r="H217" s="166"/>
      <c r="I217" s="166"/>
      <c r="J217" s="169"/>
      <c r="K217" s="169"/>
      <c r="L217" s="167"/>
      <c r="M217" s="167"/>
      <c r="N217" s="167">
        <f>N199+N207+N213+N216</f>
        <v>46841177.969999999</v>
      </c>
      <c r="O217" s="167">
        <f t="shared" ref="O217:S217" si="200">O199+O207+O213+O216</f>
        <v>30800765.809999999</v>
      </c>
      <c r="P217" s="167">
        <f t="shared" si="200"/>
        <v>3128359.51</v>
      </c>
      <c r="Q217" s="167">
        <f t="shared" si="200"/>
        <v>12912052.650000002</v>
      </c>
      <c r="R217" s="167">
        <f t="shared" si="200"/>
        <v>48702718.810000002</v>
      </c>
      <c r="S217" s="167">
        <f t="shared" si="200"/>
        <v>48702718.810000002</v>
      </c>
    </row>
    <row r="218" spans="1:22" ht="225">
      <c r="A218" s="225" t="s">
        <v>119</v>
      </c>
      <c r="B218" s="226" t="s">
        <v>99</v>
      </c>
      <c r="C218" s="122" t="s">
        <v>120</v>
      </c>
      <c r="D218" s="123" t="s">
        <v>121</v>
      </c>
      <c r="E218" s="120" t="s">
        <v>122</v>
      </c>
      <c r="F218" s="120" t="s">
        <v>122</v>
      </c>
      <c r="G218" s="120" t="s">
        <v>122</v>
      </c>
      <c r="H218" s="120" t="s">
        <v>122</v>
      </c>
      <c r="I218" s="120" t="s">
        <v>122</v>
      </c>
      <c r="J218" s="175" t="s">
        <v>124</v>
      </c>
      <c r="K218" s="175" t="s">
        <v>125</v>
      </c>
      <c r="L218" s="131" t="s">
        <v>126</v>
      </c>
      <c r="M218" s="131" t="s">
        <v>127</v>
      </c>
      <c r="N218" s="132">
        <f t="shared" ref="N218:N224" si="201">SUM(O218:Q218)</f>
        <v>2238893.54</v>
      </c>
      <c r="O218" s="132">
        <f>642642.05*2+952.08*46</f>
        <v>1329079.78</v>
      </c>
      <c r="P218" s="132">
        <f>3857.41*46</f>
        <v>177440.86</v>
      </c>
      <c r="Q218" s="136">
        <f>15921.15*46</f>
        <v>732372.9</v>
      </c>
      <c r="R218" s="136">
        <f>642642.05*2+20730.64*46</f>
        <v>2238893.54</v>
      </c>
      <c r="S218" s="136">
        <f>643642.05*2+20730.64*46</f>
        <v>2240893.54</v>
      </c>
    </row>
    <row r="219" spans="1:22" ht="240">
      <c r="A219" s="225"/>
      <c r="B219" s="226"/>
      <c r="C219" s="122" t="s">
        <v>128</v>
      </c>
      <c r="D219" s="123" t="s">
        <v>121</v>
      </c>
      <c r="E219" s="139" t="s">
        <v>129</v>
      </c>
      <c r="F219" s="139" t="s">
        <v>193</v>
      </c>
      <c r="G219" s="139" t="s">
        <v>194</v>
      </c>
      <c r="H219" s="139" t="s">
        <v>193</v>
      </c>
      <c r="I219" s="139" t="s">
        <v>193</v>
      </c>
      <c r="J219" s="175" t="s">
        <v>131</v>
      </c>
      <c r="K219" s="175" t="s">
        <v>132</v>
      </c>
      <c r="L219" s="131" t="s">
        <v>126</v>
      </c>
      <c r="M219" s="131" t="s">
        <v>127</v>
      </c>
      <c r="N219" s="132">
        <f t="shared" si="201"/>
        <v>3660421.1599999997</v>
      </c>
      <c r="O219" s="132">
        <f>604145.69*4+952.08*60</f>
        <v>2473707.5599999996</v>
      </c>
      <c r="P219" s="132">
        <f>3857.41*60</f>
        <v>231444.59999999998</v>
      </c>
      <c r="Q219" s="136">
        <f>15921.15*60</f>
        <v>955269</v>
      </c>
      <c r="R219" s="136">
        <f>604145.69*4+20730.64*58</f>
        <v>3618959.88</v>
      </c>
      <c r="S219" s="136">
        <f>R219</f>
        <v>3618959.88</v>
      </c>
    </row>
    <row r="220" spans="1:22" ht="120">
      <c r="A220" s="225"/>
      <c r="B220" s="226"/>
      <c r="C220" s="124" t="s">
        <v>102</v>
      </c>
      <c r="D220" s="125" t="s">
        <v>101</v>
      </c>
      <c r="E220" s="126"/>
      <c r="F220" s="126"/>
      <c r="G220" s="126"/>
      <c r="H220" s="126"/>
      <c r="I220" s="126"/>
      <c r="J220" s="136">
        <f>K220</f>
        <v>27251.919999999998</v>
      </c>
      <c r="K220" s="136">
        <v>27251.919999999998</v>
      </c>
      <c r="L220" s="133" t="s">
        <v>103</v>
      </c>
      <c r="M220" s="133" t="s">
        <v>103</v>
      </c>
      <c r="N220" s="132">
        <f t="shared" si="201"/>
        <v>0</v>
      </c>
      <c r="O220" s="132">
        <f>E220*K220</f>
        <v>0</v>
      </c>
      <c r="P220" s="132" t="s">
        <v>104</v>
      </c>
      <c r="Q220" s="190" t="s">
        <v>104</v>
      </c>
      <c r="R220" s="136">
        <f t="shared" ref="R220:R234" si="202">H220*J220</f>
        <v>0</v>
      </c>
      <c r="S220" s="136">
        <f t="shared" ref="S220:S234" si="203">I220*J220</f>
        <v>0</v>
      </c>
    </row>
    <row r="221" spans="1:22" ht="105">
      <c r="A221" s="225"/>
      <c r="B221" s="226"/>
      <c r="C221" s="122" t="s">
        <v>203</v>
      </c>
      <c r="D221" s="125" t="s">
        <v>101</v>
      </c>
      <c r="E221" s="120"/>
      <c r="F221" s="120">
        <v>1</v>
      </c>
      <c r="G221" s="164">
        <f t="shared" ref="G221" si="204">((E221*8)+(F221*4))/12</f>
        <v>0.33333333333333331</v>
      </c>
      <c r="H221" s="120">
        <v>1</v>
      </c>
      <c r="I221" s="120">
        <v>1</v>
      </c>
      <c r="J221" s="136">
        <f>K221</f>
        <v>24958.99</v>
      </c>
      <c r="K221" s="136">
        <v>24958.99</v>
      </c>
      <c r="L221" s="132" t="s">
        <v>104</v>
      </c>
      <c r="M221" s="132" t="s">
        <v>104</v>
      </c>
      <c r="N221" s="132">
        <f>O221</f>
        <v>8319.6633333333339</v>
      </c>
      <c r="O221" s="132">
        <f>G221*K221</f>
        <v>8319.6633333333339</v>
      </c>
      <c r="P221" s="132" t="s">
        <v>104</v>
      </c>
      <c r="Q221" s="190" t="s">
        <v>104</v>
      </c>
      <c r="R221" s="136">
        <f>H221*K221</f>
        <v>24958.99</v>
      </c>
      <c r="S221" s="136">
        <f>I221*K221</f>
        <v>24958.99</v>
      </c>
    </row>
    <row r="222" spans="1:22">
      <c r="A222" s="225"/>
      <c r="B222" s="226"/>
      <c r="C222" s="127" t="s">
        <v>106</v>
      </c>
      <c r="D222" s="128"/>
      <c r="E222" s="120" t="s">
        <v>133</v>
      </c>
      <c r="F222" s="120" t="s">
        <v>195</v>
      </c>
      <c r="G222" s="120" t="s">
        <v>196</v>
      </c>
      <c r="H222" s="120" t="s">
        <v>195</v>
      </c>
      <c r="I222" s="120" t="s">
        <v>195</v>
      </c>
      <c r="J222" s="132" t="s">
        <v>104</v>
      </c>
      <c r="K222" s="132" t="s">
        <v>104</v>
      </c>
      <c r="L222" s="132" t="s">
        <v>104</v>
      </c>
      <c r="M222" s="132" t="s">
        <v>104</v>
      </c>
      <c r="N222" s="132">
        <f>SUM(O222:Q222)</f>
        <v>5907634.3633333333</v>
      </c>
      <c r="O222" s="132">
        <f>SUM(O218:O221)</f>
        <v>3811107.0033333334</v>
      </c>
      <c r="P222" s="132">
        <f>SUM(P218:P221)</f>
        <v>408885.45999999996</v>
      </c>
      <c r="Q222" s="132">
        <f t="shared" ref="Q222:S222" si="205">SUM(Q218:Q221)</f>
        <v>1687641.9</v>
      </c>
      <c r="R222" s="132">
        <f t="shared" si="205"/>
        <v>5882812.4100000001</v>
      </c>
      <c r="S222" s="132">
        <f t="shared" si="205"/>
        <v>5884812.4100000001</v>
      </c>
    </row>
    <row r="223" spans="1:22" ht="225">
      <c r="A223" s="225"/>
      <c r="B223" s="226" t="s">
        <v>107</v>
      </c>
      <c r="C223" s="122" t="s">
        <v>120</v>
      </c>
      <c r="D223" s="123" t="s">
        <v>121</v>
      </c>
      <c r="E223" s="120" t="s">
        <v>136</v>
      </c>
      <c r="F223" s="120" t="s">
        <v>190</v>
      </c>
      <c r="G223" s="120" t="s">
        <v>198</v>
      </c>
      <c r="H223" s="120" t="s">
        <v>190</v>
      </c>
      <c r="I223" s="120" t="s">
        <v>190</v>
      </c>
      <c r="J223" s="175" t="s">
        <v>138</v>
      </c>
      <c r="K223" s="175" t="s">
        <v>139</v>
      </c>
      <c r="L223" s="131" t="s">
        <v>126</v>
      </c>
      <c r="M223" s="131" t="s">
        <v>127</v>
      </c>
      <c r="N223" s="132">
        <f t="shared" si="201"/>
        <v>3782885.7869850374</v>
      </c>
      <c r="O223" s="132">
        <f>2.666666667*955112.98+59*1169.2</f>
        <v>2615950.7469850373</v>
      </c>
      <c r="P223" s="132">
        <f>3857.41*59</f>
        <v>227587.19</v>
      </c>
      <c r="Q223" s="132">
        <f>15921.15*59</f>
        <v>939347.85</v>
      </c>
      <c r="R223" s="136">
        <f>2*955112.98+45*20947.76</f>
        <v>2852875.16</v>
      </c>
      <c r="S223" s="136">
        <f>2*955112.98+45*20947.76</f>
        <v>2852875.16</v>
      </c>
      <c r="U223" s="143">
        <f>(3*8+2*4)/12</f>
        <v>2.6666666666666665</v>
      </c>
      <c r="V223" s="143">
        <f>(66*8+45*4)/12</f>
        <v>59</v>
      </c>
    </row>
    <row r="224" spans="1:22" ht="240">
      <c r="A224" s="225"/>
      <c r="B224" s="226"/>
      <c r="C224" s="122" t="s">
        <v>128</v>
      </c>
      <c r="D224" s="123" t="s">
        <v>121</v>
      </c>
      <c r="E224" s="138" t="s">
        <v>140</v>
      </c>
      <c r="F224" s="138" t="s">
        <v>204</v>
      </c>
      <c r="G224" s="138" t="s">
        <v>197</v>
      </c>
      <c r="H224" s="138" t="s">
        <v>204</v>
      </c>
      <c r="I224" s="138" t="s">
        <v>204</v>
      </c>
      <c r="J224" s="175" t="s">
        <v>142</v>
      </c>
      <c r="K224" s="175" t="s">
        <v>143</v>
      </c>
      <c r="L224" s="131" t="s">
        <v>126</v>
      </c>
      <c r="M224" s="131" t="s">
        <v>127</v>
      </c>
      <c r="N224" s="132">
        <f t="shared" si="201"/>
        <v>3968203.4369188645</v>
      </c>
      <c r="O224" s="132">
        <f>3.666666667*756594.85+1169.2*57</f>
        <v>2840825.5169188646</v>
      </c>
      <c r="P224" s="132">
        <f>3857.41*57</f>
        <v>219872.37</v>
      </c>
      <c r="Q224" s="132">
        <f>15921.15*57</f>
        <v>907505.54999999993</v>
      </c>
      <c r="R224" s="136">
        <f>5*756594.85+20947.76*77</f>
        <v>5395951.7699999996</v>
      </c>
      <c r="S224" s="136">
        <f>756594.85*5+20947.76*77</f>
        <v>5395951.7699999996</v>
      </c>
      <c r="U224" s="143">
        <f>(3*8+5*4)/12</f>
        <v>3.6666666666666665</v>
      </c>
      <c r="V224" s="143">
        <f>(47*8+77*4)/12</f>
        <v>57</v>
      </c>
    </row>
    <row r="225" spans="1:22" ht="135">
      <c r="A225" s="225"/>
      <c r="B225" s="226"/>
      <c r="C225" s="124" t="s">
        <v>173</v>
      </c>
      <c r="D225" s="125" t="s">
        <v>101</v>
      </c>
      <c r="E225" s="120" t="s">
        <v>104</v>
      </c>
      <c r="F225" s="120" t="s">
        <v>104</v>
      </c>
      <c r="G225" s="120" t="s">
        <v>104</v>
      </c>
      <c r="H225" s="120" t="s">
        <v>104</v>
      </c>
      <c r="I225" s="120" t="s">
        <v>104</v>
      </c>
      <c r="J225" s="120" t="s">
        <v>104</v>
      </c>
      <c r="K225" s="120" t="s">
        <v>104</v>
      </c>
      <c r="L225" s="120" t="s">
        <v>104</v>
      </c>
      <c r="M225" s="120" t="s">
        <v>104</v>
      </c>
      <c r="N225" s="132"/>
      <c r="O225" s="132"/>
      <c r="P225" s="120" t="s">
        <v>104</v>
      </c>
      <c r="Q225" s="120" t="s">
        <v>104</v>
      </c>
      <c r="R225" s="136"/>
      <c r="S225" s="136"/>
    </row>
    <row r="226" spans="1:22">
      <c r="A226" s="225"/>
      <c r="B226" s="178"/>
      <c r="C226" s="124" t="s">
        <v>175</v>
      </c>
      <c r="D226" s="125"/>
      <c r="E226" s="121"/>
      <c r="F226" s="121">
        <v>3</v>
      </c>
      <c r="G226" s="164">
        <f t="shared" ref="G226:G229" si="206">((E226*8)+(F226*4))/12</f>
        <v>1</v>
      </c>
      <c r="H226" s="121">
        <v>3</v>
      </c>
      <c r="I226" s="121">
        <v>3</v>
      </c>
      <c r="J226" s="136">
        <f>K226</f>
        <v>107600.45</v>
      </c>
      <c r="K226" s="136">
        <v>107600.45</v>
      </c>
      <c r="L226" s="120" t="s">
        <v>104</v>
      </c>
      <c r="M226" s="120" t="s">
        <v>104</v>
      </c>
      <c r="N226" s="132">
        <f>O226</f>
        <v>107600.45</v>
      </c>
      <c r="O226" s="134">
        <f>G226*K226</f>
        <v>107600.45</v>
      </c>
      <c r="P226" s="120" t="s">
        <v>104</v>
      </c>
      <c r="Q226" s="120" t="s">
        <v>104</v>
      </c>
      <c r="R226" s="136">
        <f>H226*K226</f>
        <v>322801.34999999998</v>
      </c>
      <c r="S226" s="136">
        <f>I226*K226</f>
        <v>322801.34999999998</v>
      </c>
    </row>
    <row r="227" spans="1:22">
      <c r="A227" s="225"/>
      <c r="B227" s="178"/>
      <c r="C227" s="124" t="s">
        <v>179</v>
      </c>
      <c r="D227" s="125"/>
      <c r="E227" s="121">
        <v>4</v>
      </c>
      <c r="F227" s="121">
        <v>2</v>
      </c>
      <c r="G227" s="164">
        <f t="shared" si="206"/>
        <v>3.3333333333333335</v>
      </c>
      <c r="H227" s="121">
        <v>2</v>
      </c>
      <c r="I227" s="121">
        <v>2</v>
      </c>
      <c r="J227" s="136">
        <f>K227</f>
        <v>27251.919999999998</v>
      </c>
      <c r="K227" s="136">
        <v>27251.919999999998</v>
      </c>
      <c r="L227" s="170" t="s">
        <v>104</v>
      </c>
      <c r="M227" s="170" t="s">
        <v>104</v>
      </c>
      <c r="N227" s="132">
        <f>O227</f>
        <v>90839.733333333337</v>
      </c>
      <c r="O227" s="134">
        <f>G227*K227</f>
        <v>90839.733333333337</v>
      </c>
      <c r="P227" s="120" t="s">
        <v>104</v>
      </c>
      <c r="Q227" s="120" t="s">
        <v>104</v>
      </c>
      <c r="R227" s="136">
        <f>H227*K227</f>
        <v>54503.839999999997</v>
      </c>
      <c r="S227" s="136">
        <f>I227*K227</f>
        <v>54503.839999999997</v>
      </c>
    </row>
    <row r="228" spans="1:22" ht="120">
      <c r="A228" s="225"/>
      <c r="B228" s="178"/>
      <c r="C228" s="137" t="s">
        <v>187</v>
      </c>
      <c r="D228" s="125" t="s">
        <v>101</v>
      </c>
      <c r="E228" s="141">
        <v>1</v>
      </c>
      <c r="F228" s="141">
        <v>1</v>
      </c>
      <c r="G228" s="164">
        <f t="shared" si="206"/>
        <v>1</v>
      </c>
      <c r="H228" s="141">
        <v>1</v>
      </c>
      <c r="I228" s="141">
        <v>1</v>
      </c>
      <c r="J228" s="136">
        <f>SUM(K228:M228)</f>
        <v>217701.8</v>
      </c>
      <c r="K228" s="136">
        <f>217701.8+1169.2-1169.2</f>
        <v>217701.8</v>
      </c>
      <c r="L228" s="135"/>
      <c r="M228" s="135"/>
      <c r="N228" s="134">
        <f>SUM(O228:Q228)</f>
        <v>217701.8</v>
      </c>
      <c r="O228" s="134">
        <f>G228*K228</f>
        <v>217701.8</v>
      </c>
      <c r="P228" s="134">
        <f>G228*L228</f>
        <v>0</v>
      </c>
      <c r="Q228" s="134">
        <f>G228*M228</f>
        <v>0</v>
      </c>
      <c r="R228" s="136">
        <f t="shared" si="202"/>
        <v>217701.8</v>
      </c>
      <c r="S228" s="136">
        <f t="shared" si="203"/>
        <v>217701.8</v>
      </c>
    </row>
    <row r="229" spans="1:22" ht="105">
      <c r="A229" s="225"/>
      <c r="B229" s="178"/>
      <c r="C229" s="122" t="s">
        <v>203</v>
      </c>
      <c r="D229" s="125" t="s">
        <v>101</v>
      </c>
      <c r="E229" s="129"/>
      <c r="F229" s="141">
        <v>5</v>
      </c>
      <c r="G229" s="164">
        <f t="shared" si="206"/>
        <v>1.6666666666666667</v>
      </c>
      <c r="H229" s="141">
        <v>5</v>
      </c>
      <c r="I229" s="141">
        <v>5</v>
      </c>
      <c r="J229" s="136">
        <f>K229</f>
        <v>39518.410000000003</v>
      </c>
      <c r="K229" s="136">
        <v>39518.410000000003</v>
      </c>
      <c r="L229" s="135"/>
      <c r="M229" s="135"/>
      <c r="N229" s="134">
        <f>O229</f>
        <v>65864.016666666677</v>
      </c>
      <c r="O229" s="134">
        <f>G229*K229</f>
        <v>65864.016666666677</v>
      </c>
      <c r="P229" s="134"/>
      <c r="Q229" s="134"/>
      <c r="R229" s="136">
        <f>H229*K229</f>
        <v>197592.05000000002</v>
      </c>
      <c r="S229" s="136">
        <f>I229*K229</f>
        <v>197592.05000000002</v>
      </c>
    </row>
    <row r="230" spans="1:22">
      <c r="A230" s="225"/>
      <c r="B230" s="178"/>
      <c r="C230" s="127" t="s">
        <v>106</v>
      </c>
      <c r="D230" s="125"/>
      <c r="E230" s="138" t="s">
        <v>145</v>
      </c>
      <c r="F230" s="138" t="s">
        <v>199</v>
      </c>
      <c r="G230" s="138" t="s">
        <v>200</v>
      </c>
      <c r="H230" s="138" t="s">
        <v>199</v>
      </c>
      <c r="I230" s="138" t="s">
        <v>199</v>
      </c>
      <c r="J230" s="134" t="s">
        <v>104</v>
      </c>
      <c r="K230" s="134" t="s">
        <v>104</v>
      </c>
      <c r="L230" s="135" t="s">
        <v>104</v>
      </c>
      <c r="M230" s="135" t="s">
        <v>104</v>
      </c>
      <c r="N230" s="135">
        <f>SUM(O230:Q230)</f>
        <v>8233095.2239039019</v>
      </c>
      <c r="O230" s="135">
        <f>SUM(O223:O229)</f>
        <v>5938782.2639039019</v>
      </c>
      <c r="P230" s="135">
        <f>SUM(P223:P229)</f>
        <v>447459.56</v>
      </c>
      <c r="Q230" s="135">
        <f t="shared" ref="Q230:S230" si="207">SUM(Q223:Q229)</f>
        <v>1846853.4</v>
      </c>
      <c r="R230" s="135">
        <f t="shared" si="207"/>
        <v>9041425.9700000007</v>
      </c>
      <c r="S230" s="135">
        <f t="shared" si="207"/>
        <v>9041425.9700000007</v>
      </c>
    </row>
    <row r="231" spans="1:22" ht="240">
      <c r="A231" s="225"/>
      <c r="B231" s="178" t="s">
        <v>108</v>
      </c>
      <c r="C231" s="122" t="s">
        <v>128</v>
      </c>
      <c r="D231" s="123" t="s">
        <v>121</v>
      </c>
      <c r="E231" s="139" t="s">
        <v>148</v>
      </c>
      <c r="F231" s="139" t="s">
        <v>201</v>
      </c>
      <c r="G231" s="139" t="s">
        <v>202</v>
      </c>
      <c r="H231" s="139" t="s">
        <v>201</v>
      </c>
      <c r="I231" s="139" t="s">
        <v>201</v>
      </c>
      <c r="J231" s="175" t="s">
        <v>150</v>
      </c>
      <c r="K231" s="175" t="s">
        <v>151</v>
      </c>
      <c r="L231" s="131" t="s">
        <v>126</v>
      </c>
      <c r="M231" s="131" t="s">
        <v>127</v>
      </c>
      <c r="N231" s="134">
        <f>SUM(O231:Q231)</f>
        <v>991675.54582096997</v>
      </c>
      <c r="O231" s="134">
        <f>808407.62+1367.67*8.66667</f>
        <v>820260.76455890003</v>
      </c>
      <c r="P231" s="134">
        <f>8.66667*3857.471</f>
        <v>33431.428191569998</v>
      </c>
      <c r="Q231" s="134">
        <f>8.66667*15921.15</f>
        <v>137983.35307049999</v>
      </c>
      <c r="R231" s="136">
        <f>808407.62+12*21146.23</f>
        <v>1062162.3799999999</v>
      </c>
      <c r="S231" s="136">
        <f>808407.62+12*21146.23</f>
        <v>1062162.3799999999</v>
      </c>
      <c r="V231" s="143">
        <f>(7*8+12*4)/12</f>
        <v>8.6666666666666661</v>
      </c>
    </row>
    <row r="232" spans="1:22">
      <c r="A232" s="225"/>
      <c r="B232" s="178"/>
      <c r="C232" s="127" t="s">
        <v>106</v>
      </c>
      <c r="D232" s="125"/>
      <c r="E232" s="139" t="s">
        <v>148</v>
      </c>
      <c r="F232" s="139" t="s">
        <v>201</v>
      </c>
      <c r="G232" s="139" t="s">
        <v>202</v>
      </c>
      <c r="H232" s="139" t="s">
        <v>201</v>
      </c>
      <c r="I232" s="139" t="s">
        <v>201</v>
      </c>
      <c r="J232" s="134" t="s">
        <v>104</v>
      </c>
      <c r="K232" s="134" t="s">
        <v>104</v>
      </c>
      <c r="L232" s="135" t="s">
        <v>104</v>
      </c>
      <c r="M232" s="135" t="s">
        <v>104</v>
      </c>
      <c r="N232" s="135">
        <f>SUM(N231:N231)</f>
        <v>991675.54582096997</v>
      </c>
      <c r="O232" s="135">
        <f>SUM(O231:O231)</f>
        <v>820260.76455890003</v>
      </c>
      <c r="P232" s="135">
        <f>SUM(P231:P231)</f>
        <v>33431.428191569998</v>
      </c>
      <c r="Q232" s="135">
        <f>SUM(Q231:Q231)</f>
        <v>137983.35307049999</v>
      </c>
      <c r="R232" s="136">
        <f>SUM(R231)</f>
        <v>1062162.3799999999</v>
      </c>
      <c r="S232" s="136">
        <f>SUM(S231)</f>
        <v>1062162.3799999999</v>
      </c>
    </row>
    <row r="233" spans="1:22" ht="165">
      <c r="A233" s="225"/>
      <c r="B233" s="227" t="s">
        <v>109</v>
      </c>
      <c r="C233" s="122" t="s">
        <v>110</v>
      </c>
      <c r="D233" s="125" t="s">
        <v>101</v>
      </c>
      <c r="E233" s="121">
        <v>153</v>
      </c>
      <c r="F233" s="121">
        <v>153</v>
      </c>
      <c r="G233" s="164">
        <f t="shared" ref="G233:G234" si="208">((E233*8)+(F233*4))/12</f>
        <v>153</v>
      </c>
      <c r="H233" s="121">
        <v>153</v>
      </c>
      <c r="I233" s="121">
        <v>153</v>
      </c>
      <c r="J233" s="136">
        <f>K233</f>
        <v>3461.18</v>
      </c>
      <c r="K233" s="136">
        <v>3461.18</v>
      </c>
      <c r="L233" s="133" t="s">
        <v>104</v>
      </c>
      <c r="M233" s="133" t="s">
        <v>104</v>
      </c>
      <c r="N233" s="134">
        <f>SUM(O233:Q233)</f>
        <v>529560.53999999992</v>
      </c>
      <c r="O233" s="134">
        <f>K233*E233</f>
        <v>529560.53999999992</v>
      </c>
      <c r="P233" s="134" t="s">
        <v>104</v>
      </c>
      <c r="Q233" s="134" t="s">
        <v>104</v>
      </c>
      <c r="R233" s="136">
        <f t="shared" si="202"/>
        <v>529560.53999999992</v>
      </c>
      <c r="S233" s="136">
        <f t="shared" si="203"/>
        <v>529560.53999999992</v>
      </c>
    </row>
    <row r="234" spans="1:22" ht="180">
      <c r="A234" s="225"/>
      <c r="B234" s="227"/>
      <c r="C234" s="122" t="s">
        <v>180</v>
      </c>
      <c r="D234" s="125" t="s">
        <v>101</v>
      </c>
      <c r="E234" s="121">
        <v>147</v>
      </c>
      <c r="F234" s="121">
        <v>147</v>
      </c>
      <c r="G234" s="164">
        <f t="shared" si="208"/>
        <v>147</v>
      </c>
      <c r="H234" s="121">
        <v>147</v>
      </c>
      <c r="I234" s="121">
        <v>147</v>
      </c>
      <c r="J234" s="136">
        <f>K234</f>
        <v>4783.41</v>
      </c>
      <c r="K234" s="136">
        <v>4783.41</v>
      </c>
      <c r="L234" s="133" t="s">
        <v>104</v>
      </c>
      <c r="M234" s="133" t="s">
        <v>104</v>
      </c>
      <c r="N234" s="134">
        <f>SUM(O234:Q234)</f>
        <v>703161.27</v>
      </c>
      <c r="O234" s="134">
        <f>K234*E234</f>
        <v>703161.27</v>
      </c>
      <c r="P234" s="134" t="s">
        <v>104</v>
      </c>
      <c r="Q234" s="135" t="s">
        <v>104</v>
      </c>
      <c r="R234" s="136">
        <f t="shared" si="202"/>
        <v>703161.27</v>
      </c>
      <c r="S234" s="136">
        <f t="shared" si="203"/>
        <v>703161.27</v>
      </c>
    </row>
    <row r="235" spans="1:22">
      <c r="A235" s="225"/>
      <c r="B235" s="130"/>
      <c r="C235" s="127" t="s">
        <v>106</v>
      </c>
      <c r="D235" s="130"/>
      <c r="E235" s="121">
        <f>SUM(E233:E234)</f>
        <v>300</v>
      </c>
      <c r="F235" s="121">
        <f t="shared" ref="F235:I235" si="209">SUM(F233:F234)</f>
        <v>300</v>
      </c>
      <c r="G235" s="121">
        <f t="shared" si="209"/>
        <v>300</v>
      </c>
      <c r="H235" s="121">
        <f t="shared" si="209"/>
        <v>300</v>
      </c>
      <c r="I235" s="121">
        <f t="shared" si="209"/>
        <v>300</v>
      </c>
      <c r="J235" s="135" t="s">
        <v>104</v>
      </c>
      <c r="K235" s="135" t="s">
        <v>104</v>
      </c>
      <c r="L235" s="135" t="s">
        <v>104</v>
      </c>
      <c r="M235" s="135">
        <f t="shared" ref="M235:S235" si="210">SUM(M233:M234)</f>
        <v>0</v>
      </c>
      <c r="N235" s="135">
        <f>SUM(N233:N234)</f>
        <v>1232721.81</v>
      </c>
      <c r="O235" s="135">
        <f>SUM(O233:O234)</f>
        <v>1232721.81</v>
      </c>
      <c r="P235" s="135">
        <f t="shared" si="210"/>
        <v>0</v>
      </c>
      <c r="Q235" s="135">
        <f t="shared" si="210"/>
        <v>0</v>
      </c>
      <c r="R235" s="135">
        <f t="shared" si="210"/>
        <v>1232721.81</v>
      </c>
      <c r="S235" s="135">
        <f t="shared" si="210"/>
        <v>1232721.81</v>
      </c>
    </row>
    <row r="236" spans="1:22">
      <c r="A236" s="225"/>
      <c r="B236" s="165" t="s">
        <v>112</v>
      </c>
      <c r="C236" s="165"/>
      <c r="D236" s="130"/>
      <c r="E236" s="167"/>
      <c r="F236" s="167"/>
      <c r="G236" s="167"/>
      <c r="H236" s="167"/>
      <c r="I236" s="167"/>
      <c r="J236" s="167"/>
      <c r="K236" s="167"/>
      <c r="L236" s="167"/>
      <c r="M236" s="167"/>
      <c r="N236" s="167">
        <f>N222+N230+N232+N235</f>
        <v>16365126.943058206</v>
      </c>
      <c r="O236" s="167">
        <f t="shared" ref="O236:S236" si="211">O222+O230+O232+O235</f>
        <v>11802871.841796136</v>
      </c>
      <c r="P236" s="167">
        <f t="shared" si="211"/>
        <v>889776.44819157</v>
      </c>
      <c r="Q236" s="167">
        <f t="shared" si="211"/>
        <v>3672478.6530704997</v>
      </c>
      <c r="R236" s="167">
        <f t="shared" si="211"/>
        <v>17219122.57</v>
      </c>
      <c r="S236" s="167">
        <f t="shared" si="211"/>
        <v>17221122.57</v>
      </c>
    </row>
    <row r="237" spans="1:22">
      <c r="A237" s="159" t="s">
        <v>156</v>
      </c>
    </row>
    <row r="238" spans="1:22" ht="30">
      <c r="A238" s="177" t="s">
        <v>3</v>
      </c>
      <c r="B238" s="177" t="s">
        <v>81</v>
      </c>
      <c r="C238" s="177" t="s">
        <v>4</v>
      </c>
      <c r="D238" s="231" t="s">
        <v>5</v>
      </c>
      <c r="E238" s="231"/>
      <c r="F238" s="231"/>
      <c r="G238" s="231"/>
      <c r="H238" s="231"/>
      <c r="I238" s="217" t="s">
        <v>6</v>
      </c>
      <c r="J238" s="217" t="s">
        <v>7</v>
      </c>
      <c r="K238" s="217"/>
      <c r="L238" s="217"/>
    </row>
    <row r="239" spans="1:22" ht="30">
      <c r="A239" s="145"/>
      <c r="B239" s="145"/>
      <c r="C239" s="145"/>
      <c r="D239" s="180" t="s">
        <v>8</v>
      </c>
      <c r="E239" s="183" t="s">
        <v>188</v>
      </c>
      <c r="F239" s="177" t="s">
        <v>189</v>
      </c>
      <c r="G239" s="186" t="s">
        <v>9</v>
      </c>
      <c r="H239" s="180" t="s">
        <v>10</v>
      </c>
      <c r="I239" s="217"/>
      <c r="J239" s="180">
        <v>2016</v>
      </c>
      <c r="K239" s="180" t="s">
        <v>9</v>
      </c>
      <c r="L239" s="180" t="s">
        <v>10</v>
      </c>
    </row>
    <row r="240" spans="1:22" ht="75">
      <c r="A240" s="146" t="s">
        <v>13</v>
      </c>
      <c r="B240" s="146" t="s">
        <v>14</v>
      </c>
      <c r="C240" s="177" t="s">
        <v>15</v>
      </c>
      <c r="D240" s="146" t="s">
        <v>16</v>
      </c>
      <c r="E240" s="146" t="s">
        <v>16</v>
      </c>
      <c r="F240" s="146" t="s">
        <v>16</v>
      </c>
      <c r="G240" s="146" t="s">
        <v>16</v>
      </c>
      <c r="H240" s="146" t="s">
        <v>16</v>
      </c>
      <c r="I240" s="177" t="s">
        <v>17</v>
      </c>
      <c r="J240" s="177" t="s">
        <v>17</v>
      </c>
      <c r="K240" s="177" t="s">
        <v>17</v>
      </c>
      <c r="L240" s="177" t="s">
        <v>17</v>
      </c>
    </row>
    <row r="241" spans="1:12">
      <c r="A241" s="171" t="s">
        <v>157</v>
      </c>
      <c r="B241" s="145"/>
      <c r="C241" s="145"/>
      <c r="D241" s="172">
        <f>SUM(D242:D243)</f>
        <v>1550</v>
      </c>
      <c r="E241" s="172">
        <f>SUM(E242:E243)</f>
        <v>1550</v>
      </c>
      <c r="F241" s="172">
        <f>SUM(F242:F243)</f>
        <v>1550</v>
      </c>
      <c r="G241" s="172">
        <f>SUM(G242:G243)</f>
        <v>1550</v>
      </c>
      <c r="H241" s="172">
        <f>SUM(H242:H243)</f>
        <v>1550</v>
      </c>
      <c r="I241" s="145"/>
      <c r="J241" s="173">
        <f>J242+J243</f>
        <v>22307310</v>
      </c>
      <c r="K241" s="173">
        <f>K242+K243</f>
        <v>22307310</v>
      </c>
      <c r="L241" s="173">
        <f>L242+L243</f>
        <v>22307310</v>
      </c>
    </row>
    <row r="242" spans="1:12" ht="105">
      <c r="A242" s="232"/>
      <c r="B242" s="177" t="s">
        <v>158</v>
      </c>
      <c r="C242" s="145" t="s">
        <v>20</v>
      </c>
      <c r="D242" s="174">
        <v>1300</v>
      </c>
      <c r="E242" s="174">
        <v>1300</v>
      </c>
      <c r="F242" s="164">
        <f t="shared" ref="F242:F244" si="212">((D242*8)+(E242*4))/12</f>
        <v>1300</v>
      </c>
      <c r="G242" s="174">
        <v>1300</v>
      </c>
      <c r="H242" s="174">
        <v>1300</v>
      </c>
      <c r="I242" s="136">
        <v>16584.45</v>
      </c>
      <c r="J242" s="136">
        <f>I242*D242</f>
        <v>21559785</v>
      </c>
      <c r="K242" s="136">
        <f>J242</f>
        <v>21559785</v>
      </c>
      <c r="L242" s="136">
        <f>K242</f>
        <v>21559785</v>
      </c>
    </row>
    <row r="243" spans="1:12" ht="45">
      <c r="A243" s="233"/>
      <c r="B243" s="176" t="s">
        <v>159</v>
      </c>
      <c r="C243" s="145" t="s">
        <v>20</v>
      </c>
      <c r="D243" s="174">
        <v>250</v>
      </c>
      <c r="E243" s="174">
        <v>250</v>
      </c>
      <c r="F243" s="164">
        <f t="shared" si="212"/>
        <v>250</v>
      </c>
      <c r="G243" s="174">
        <v>250</v>
      </c>
      <c r="H243" s="174">
        <v>250</v>
      </c>
      <c r="I243" s="136">
        <v>2990.1</v>
      </c>
      <c r="J243" s="136">
        <f>I243*D243</f>
        <v>747525</v>
      </c>
      <c r="K243" s="136">
        <f t="shared" ref="K243:L244" si="213">J243</f>
        <v>747525</v>
      </c>
      <c r="L243" s="136">
        <f t="shared" si="213"/>
        <v>747525</v>
      </c>
    </row>
    <row r="244" spans="1:12" ht="105">
      <c r="A244" s="180" t="s">
        <v>160</v>
      </c>
      <c r="B244" s="177" t="s">
        <v>158</v>
      </c>
      <c r="C244" s="145" t="s">
        <v>20</v>
      </c>
      <c r="D244" s="174">
        <v>411</v>
      </c>
      <c r="E244" s="174">
        <v>403</v>
      </c>
      <c r="F244" s="164">
        <f t="shared" si="212"/>
        <v>408.33333333333331</v>
      </c>
      <c r="G244" s="174">
        <v>403</v>
      </c>
      <c r="H244" s="174">
        <v>403</v>
      </c>
      <c r="I244" s="136">
        <v>12267.68</v>
      </c>
      <c r="J244" s="136">
        <f>I244*D244</f>
        <v>5042016.4800000004</v>
      </c>
      <c r="K244" s="136">
        <f t="shared" si="213"/>
        <v>5042016.4800000004</v>
      </c>
      <c r="L244" s="136">
        <f t="shared" si="213"/>
        <v>5042016.4800000004</v>
      </c>
    </row>
    <row r="247" spans="1:12">
      <c r="A247" s="143" t="s">
        <v>205</v>
      </c>
    </row>
  </sheetData>
  <sheetProtection password="CF7A" sheet="1" objects="1" scenarios="1"/>
  <mergeCells count="47">
    <mergeCell ref="D238:H238"/>
    <mergeCell ref="I238:I239"/>
    <mergeCell ref="J238:L238"/>
    <mergeCell ref="A242:A243"/>
    <mergeCell ref="A191:A217"/>
    <mergeCell ref="B214:B215"/>
    <mergeCell ref="A218:A236"/>
    <mergeCell ref="B218:B222"/>
    <mergeCell ref="B223:B225"/>
    <mergeCell ref="B233:B234"/>
    <mergeCell ref="B208:B213"/>
    <mergeCell ref="B200:B207"/>
    <mergeCell ref="B191:B199"/>
    <mergeCell ref="A143:A167"/>
    <mergeCell ref="B143:B150"/>
    <mergeCell ref="B151:B156"/>
    <mergeCell ref="B158:B162"/>
    <mergeCell ref="B164:B165"/>
    <mergeCell ref="A168:A190"/>
    <mergeCell ref="B168:B174"/>
    <mergeCell ref="B175:B180"/>
    <mergeCell ref="B182:B185"/>
    <mergeCell ref="B187:B188"/>
    <mergeCell ref="A90:A113"/>
    <mergeCell ref="B90:B98"/>
    <mergeCell ref="B99:B104"/>
    <mergeCell ref="B106:B108"/>
    <mergeCell ref="B110:B111"/>
    <mergeCell ref="A114:A142"/>
    <mergeCell ref="B114:B123"/>
    <mergeCell ref="B124:B131"/>
    <mergeCell ref="B133:B137"/>
    <mergeCell ref="B139:B140"/>
    <mergeCell ref="N87:S87"/>
    <mergeCell ref="A5:S5"/>
    <mergeCell ref="E8:I8"/>
    <mergeCell ref="J8:M8"/>
    <mergeCell ref="N8:S8"/>
    <mergeCell ref="N10:Q10"/>
    <mergeCell ref="A86:C86"/>
    <mergeCell ref="E9:G9"/>
    <mergeCell ref="A87:A88"/>
    <mergeCell ref="B87:B88"/>
    <mergeCell ref="D87:D88"/>
    <mergeCell ref="E87:I87"/>
    <mergeCell ref="J87:M87"/>
    <mergeCell ref="N9:Q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01.01.2016</vt:lpstr>
      <vt:lpstr>25.02.2016</vt:lpstr>
      <vt:lpstr>30.09.2016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Студеникина</cp:lastModifiedBy>
  <cp:lastPrinted>2016-10-12T04:13:29Z</cp:lastPrinted>
  <dcterms:modified xsi:type="dcterms:W3CDTF">2016-10-12T04:44:43Z</dcterms:modified>
</cp:coreProperties>
</file>