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0" windowWidth="14940" windowHeight="9150"/>
  </bookViews>
  <sheets>
    <sheet name="Приложение" sheetId="2" r:id="rId1"/>
  </sheets>
  <calcPr calcId="124519"/>
</workbook>
</file>

<file path=xl/calcChain.xml><?xml version="1.0" encoding="utf-8"?>
<calcChain xmlns="http://schemas.openxmlformats.org/spreadsheetml/2006/main">
  <c r="A10" i="2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8"/>
  <c r="F128"/>
  <c r="F126"/>
  <c r="F136"/>
  <c r="F135" s="1"/>
  <c r="F133"/>
  <c r="F248"/>
  <c r="F247" s="1"/>
  <c r="F245"/>
  <c r="F244"/>
  <c r="F243" s="1"/>
  <c r="F242" s="1"/>
  <c r="F240"/>
  <c r="F239" s="1"/>
  <c r="F229"/>
  <c r="F228" s="1"/>
  <c r="F226"/>
  <c r="F224"/>
  <c r="F222"/>
  <c r="F219"/>
  <c r="F217"/>
  <c r="F215"/>
  <c r="F213"/>
  <c r="F195"/>
  <c r="E184"/>
  <c r="F170"/>
  <c r="F169" s="1"/>
  <c r="F167"/>
  <c r="F165"/>
  <c r="F163"/>
  <c r="F161"/>
  <c r="F159"/>
  <c r="F157"/>
  <c r="F155"/>
  <c r="F153"/>
  <c r="F150"/>
  <c r="F144"/>
  <c r="E144"/>
  <c r="F146"/>
  <c r="F143" s="1"/>
  <c r="F141"/>
  <c r="F110"/>
  <c r="F106"/>
  <c r="F105" s="1"/>
  <c r="F103"/>
  <c r="F101"/>
  <c r="F97"/>
  <c r="F95"/>
  <c r="F87"/>
  <c r="F86" s="1"/>
  <c r="F83"/>
  <c r="F82" s="1"/>
  <c r="F79"/>
  <c r="F78" s="1"/>
  <c r="F75"/>
  <c r="F72" s="1"/>
  <c r="F71" s="1"/>
  <c r="F68"/>
  <c r="E69"/>
  <c r="E70"/>
  <c r="E75"/>
  <c r="E72" s="1"/>
  <c r="E71" s="1"/>
  <c r="F65"/>
  <c r="F58"/>
  <c r="F55"/>
  <c r="F54" s="1"/>
  <c r="F53" s="1"/>
  <c r="F51"/>
  <c r="F49"/>
  <c r="F46"/>
  <c r="F44"/>
  <c r="F41"/>
  <c r="F38"/>
  <c r="F36"/>
  <c r="F34"/>
  <c r="F32"/>
  <c r="F30"/>
  <c r="F26"/>
  <c r="F24"/>
  <c r="F22"/>
  <c r="F20"/>
  <c r="F13"/>
  <c r="F11"/>
  <c r="F10"/>
  <c r="F9" s="1"/>
  <c r="E17"/>
  <c r="E16"/>
  <c r="E140"/>
  <c r="E138"/>
  <c r="E137"/>
  <c r="E125"/>
  <c r="E122"/>
  <c r="E119"/>
  <c r="E117"/>
  <c r="E115"/>
  <c r="E114"/>
  <c r="E112"/>
  <c r="E56"/>
  <c r="E50"/>
  <c r="E47"/>
  <c r="E42"/>
  <c r="E35"/>
  <c r="E31"/>
  <c r="E18"/>
  <c r="E15"/>
  <c r="E14"/>
  <c r="E131"/>
  <c r="E139"/>
  <c r="E107"/>
  <c r="E108"/>
  <c r="E104"/>
  <c r="E102"/>
  <c r="E96"/>
  <c r="E84"/>
  <c r="E91"/>
  <c r="E80"/>
  <c r="E66"/>
  <c r="E61"/>
  <c r="E60"/>
  <c r="E59"/>
  <c r="E36"/>
  <c r="E209"/>
  <c r="E205"/>
  <c r="E204"/>
  <c r="E214"/>
  <c r="E211"/>
  <c r="E206"/>
  <c r="E121"/>
  <c r="E45"/>
  <c r="E33"/>
  <c r="E127"/>
  <c r="E52"/>
  <c r="E192"/>
  <c r="F132" l="1"/>
  <c r="F109" s="1"/>
  <c r="F221"/>
  <c r="F194"/>
  <c r="F100"/>
  <c r="F152"/>
  <c r="F94"/>
  <c r="F93" s="1"/>
  <c r="F92" s="1"/>
  <c r="F81"/>
  <c r="F77" s="1"/>
  <c r="F64"/>
  <c r="F57" s="1"/>
  <c r="F48"/>
  <c r="F43"/>
  <c r="F40" s="1"/>
  <c r="F29"/>
  <c r="F28" s="1"/>
  <c r="F19"/>
  <c r="E118"/>
  <c r="E111"/>
  <c r="E130"/>
  <c r="E128" s="1"/>
  <c r="F149" l="1"/>
  <c r="F148" s="1"/>
  <c r="F8"/>
  <c r="E207"/>
  <c r="E234"/>
  <c r="E154"/>
  <c r="E197"/>
  <c r="E198"/>
  <c r="E201"/>
  <c r="E151"/>
  <c r="F250" l="1"/>
  <c r="E225"/>
  <c r="E116"/>
  <c r="E124"/>
  <c r="E123"/>
  <c r="E88"/>
  <c r="E39"/>
  <c r="E12"/>
  <c r="E241" l="1"/>
  <c r="E218"/>
  <c r="E141"/>
  <c r="E55"/>
  <c r="E54" s="1"/>
  <c r="E53" s="1"/>
  <c r="E147"/>
  <c r="E156" l="1"/>
  <c r="E113" l="1"/>
  <c r="E110" s="1"/>
  <c r="E183" l="1"/>
  <c r="E63" l="1"/>
  <c r="E97"/>
  <c r="E95"/>
  <c r="E94" s="1"/>
  <c r="E93" s="1"/>
  <c r="E177" l="1"/>
  <c r="E233" l="1"/>
  <c r="E196"/>
  <c r="E200"/>
  <c r="E210"/>
  <c r="E202"/>
  <c r="E208"/>
  <c r="E212"/>
  <c r="E199"/>
  <c r="E203"/>
  <c r="E249"/>
  <c r="E245"/>
  <c r="E244" s="1"/>
  <c r="E243" s="1"/>
  <c r="E242" s="1"/>
  <c r="E67" l="1"/>
  <c r="E65" s="1"/>
  <c r="E216"/>
  <c r="E229" l="1"/>
  <c r="E133"/>
  <c r="E101" l="1"/>
  <c r="E103"/>
  <c r="E100" l="1"/>
  <c r="E92" s="1"/>
  <c r="E170"/>
  <c r="E106" l="1"/>
  <c r="E105" s="1"/>
  <c r="E87" l="1"/>
  <c r="E240"/>
  <c r="E83" l="1"/>
  <c r="E82" s="1"/>
  <c r="E136"/>
  <c r="E135" s="1"/>
  <c r="E132" s="1"/>
  <c r="E195" l="1"/>
  <c r="E163"/>
  <c r="E248" l="1"/>
  <c r="E247" s="1"/>
  <c r="E86" l="1"/>
  <c r="E81" s="1"/>
  <c r="E161" l="1"/>
  <c r="E228" l="1"/>
  <c r="E169" l="1"/>
  <c r="E168"/>
  <c r="E226"/>
  <c r="E222"/>
  <c r="E157"/>
  <c r="E215"/>
  <c r="E224"/>
  <c r="E221" l="1"/>
  <c r="E155"/>
  <c r="E153" l="1"/>
  <c r="E165"/>
  <c r="E150" l="1"/>
  <c r="E219" l="1"/>
  <c r="E217"/>
  <c r="E213"/>
  <c r="E167"/>
  <c r="E159"/>
  <c r="E239"/>
  <c r="A9"/>
  <c r="E152" l="1"/>
  <c r="E194"/>
  <c r="E146"/>
  <c r="E143" s="1"/>
  <c r="E149" l="1"/>
  <c r="E148" s="1"/>
  <c r="E126"/>
  <c r="E109" s="1"/>
  <c r="E79"/>
  <c r="E78" s="1"/>
  <c r="E77" s="1"/>
  <c r="E68"/>
  <c r="E64" s="1"/>
  <c r="E62"/>
  <c r="E58"/>
  <c r="E51"/>
  <c r="E49"/>
  <c r="E46"/>
  <c r="E44"/>
  <c r="E41"/>
  <c r="E38"/>
  <c r="E34"/>
  <c r="E32"/>
  <c r="E30"/>
  <c r="E26"/>
  <c r="E24"/>
  <c r="E22"/>
  <c r="E20"/>
  <c r="E13"/>
  <c r="E11"/>
  <c r="E10"/>
  <c r="E48" l="1"/>
  <c r="E9"/>
  <c r="E29"/>
  <c r="E28" s="1"/>
  <c r="E57"/>
  <c r="E19"/>
  <c r="E43"/>
  <c r="E40" s="1"/>
  <c r="E8" l="1"/>
  <c r="E250" s="1"/>
</calcChain>
</file>

<file path=xl/sharedStrings.xml><?xml version="1.0" encoding="utf-8"?>
<sst xmlns="http://schemas.openxmlformats.org/spreadsheetml/2006/main" count="737" uniqueCount="468">
  <si>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</si>
  <si>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</si>
  <si>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</si>
  <si>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</si>
  <si>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</si>
  <si>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</si>
  <si>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</si>
  <si>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100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</si>
  <si>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</si>
  <si>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</si>
  <si>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</si>
  <si>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</si>
  <si>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</si>
  <si>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</si>
  <si>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</si>
  <si>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</si>
  <si>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</si>
  <si>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</si>
  <si>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</si>
  <si>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</si>
  <si>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</si>
  <si>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</si>
  <si>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</si>
  <si>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</si>
  <si>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</si>
  <si>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</si>
  <si>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ЗАДОЛЖЕННОСТЬ И ПЕРЕРАСЧЕТЫ ПО ОТМЕНЕННЫМ НАЛОГАМ, СБОРАМ И ИНЫМ ОБЯЗАТЕЛЬНЫМ ПЛАТЕЖАМ</t>
  </si>
  <si>
    <t>439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</si>
  <si>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</si>
  <si>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</si>
  <si>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</si>
  <si>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</si>
  <si>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</si>
  <si>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</si>
  <si>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</si>
  <si>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</si>
  <si>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</si>
  <si>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</si>
  <si>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</si>
  <si>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</si>
  <si>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</si>
  <si>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</si>
  <si>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</si>
  <si>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</si>
  <si>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</si>
  <si>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</si>
  <si>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</si>
  <si>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</si>
  <si>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ИТОГО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</si>
  <si>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</si>
  <si>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</si>
  <si>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</si>
  <si>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</si>
  <si>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</si>
  <si>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</si>
  <si>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</si>
  <si>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</si>
  <si>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</si>
  <si>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</si>
  <si>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</si>
  <si>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</si>
  <si>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</si>
  <si>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</si>
  <si>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</si>
  <si>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</si>
  <si>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</si>
  <si>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</si>
  <si>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</si>
  <si>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</si>
  <si>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</si>
  <si>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</si>
  <si>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</si>
  <si>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</si>
  <si>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</si>
  <si>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</si>
  <si>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</si>
  <si>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</si>
  <si>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</si>
  <si>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</si>
  <si>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</si>
  <si>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</si>
  <si>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</si>
  <si>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</si>
  <si>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</si>
  <si>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</si>
  <si>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</si>
  <si>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</si>
  <si>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</si>
  <si>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</si>
  <si>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</si>
  <si>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</si>
  <si>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</si>
  <si>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</si>
  <si>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</si>
  <si>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</si>
  <si>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</si>
  <si>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</si>
  <si>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</si>
  <si>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</si>
  <si>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</si>
  <si>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</si>
  <si>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</si>
  <si>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</si>
  <si>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</si>
  <si>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</si>
  <si>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</si>
  <si>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</si>
  <si>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</si>
  <si>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</si>
  <si>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</si>
  <si>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</si>
  <si>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</si>
  <si>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</si>
  <si>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1 09 00000 00 0000 000</t>
  </si>
  <si>
    <t>Прочие налоги и сборы (по отмененным местным налогам и сборам)</t>
  </si>
  <si>
    <t>1 09 07000 00 0000 110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</si>
  <si>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</si>
  <si>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</si>
  <si>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</si>
  <si>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</si>
  <si>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</si>
  <si>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</si>
  <si>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</si>
  <si>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</si>
  <si>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</si>
  <si>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</si>
  <si>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</si>
  <si>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</si>
  <si>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</si>
  <si>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</si>
  <si>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</si>
  <si>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</si>
  <si>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</si>
  <si>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</si>
  <si>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</si>
  <si>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</si>
  <si>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</si>
  <si>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</si>
  <si>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</si>
  <si>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</si>
  <si>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</si>
  <si>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</si>
  <si>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</si>
  <si>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</si>
  <si>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</si>
  <si>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</si>
  <si>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</si>
  <si>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</si>
  <si>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</si>
  <si>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</si>
  <si>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</si>
  <si>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</si>
  <si>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</si>
  <si>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</si>
  <si>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</si>
  <si>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</si>
  <si>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</si>
  <si>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</si>
  <si>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</si>
  <si>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</si>
  <si>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</si>
  <si>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</si>
  <si>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</si>
  <si>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</si>
  <si>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</si>
  <si>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</si>
  <si>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</si>
  <si>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</si>
  <si>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</si>
  <si>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</si>
  <si>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</si>
  <si>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</si>
  <si>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</si>
  <si>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</si>
  <si>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</si>
  <si>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</si>
  <si>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</si>
  <si>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</si>
  <si>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</si>
  <si>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</si>
  <si>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</si>
  <si>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1 17 00000 00 0000 000</t>
  </si>
  <si>
    <t>Инициативные платежи</t>
  </si>
  <si>
    <t>1 17 15000 00 0000 150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</si>
  <si>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</si>
  <si>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</si>
  <si>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</si>
  <si>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</si>
  <si>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</si>
  <si>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</si>
  <si>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</si>
  <si>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</si>
  <si>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</si>
  <si>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</si>
  <si>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</si>
  <si>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</si>
  <si>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</si>
  <si>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</si>
  <si>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</si>
  <si>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</si>
  <si>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</si>
  <si>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2 00 00000 00 0000 000</t>
  </si>
  <si>
    <t>2 02 20000 00 0000 150</t>
  </si>
  <si>
    <t>2 02 00000 00 0000 150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</si>
  <si>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</si>
  <si>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</si>
  <si>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991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</si>
  <si>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</si>
  <si>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</si>
  <si>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</si>
  <si>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</si>
  <si>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</si>
  <si>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</si>
  <si>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</si>
  <si>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</si>
  <si>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</si>
  <si>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</si>
  <si>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2 02 29999 04 7413 150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</si>
  <si>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</si>
  <si>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</si>
  <si>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</si>
  <si>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</si>
  <si>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</si>
  <si>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</si>
  <si>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законодательства)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</si>
  <si>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</si>
  <si>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</si>
  <si>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</si>
  <si>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</si>
  <si>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</si>
  <si>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</si>
  <si>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</si>
  <si>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</si>
  <si>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</si>
  <si>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</si>
  <si>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</si>
  <si>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</si>
  <si>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</si>
  <si>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</si>
  <si>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</si>
  <si>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</si>
  <si>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</si>
  <si>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</si>
  <si>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</si>
  <si>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</si>
  <si>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 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</si>
  <si>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</si>
  <si>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</si>
  <si>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</si>
  <si>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</si>
  <si>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</si>
  <si>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</si>
  <si>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</si>
  <si>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</si>
  <si>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</si>
  <si>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</si>
  <si>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</si>
  <si>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</si>
  <si>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</si>
  <si>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</si>
  <si>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</si>
  <si>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</si>
  <si>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</si>
  <si>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</si>
  <si>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</si>
  <si>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</si>
  <si>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</si>
  <si>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</si>
  <si>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</si>
  <si>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</si>
  <si>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</si>
  <si>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</si>
  <si>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</si>
  <si>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</si>
  <si>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</si>
  <si>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</si>
  <si>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</si>
  <si>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</si>
  <si>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</si>
  <si>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</si>
  <si>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</si>
  <si>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Прочие дотации бюджетам городских округов( 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сферы)</t>
  </si>
  <si>
    <t>2 02 19999 00 2724 150</t>
  </si>
  <si>
    <t>Дотации бюджетам бюджетной системы Российской Федерации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</si>
  <si>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</si>
  <si>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</si>
  <si>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2 02 25519 00 0000 150</t>
  </si>
  <si>
    <t>2 02 25519 04 0000 150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</si>
  <si>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</si>
  <si>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</si>
  <si>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</si>
  <si>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2 02 20299 00 0000 150</t>
  </si>
  <si>
    <t>2 02 20299 04 0000 150</t>
  </si>
  <si>
    <t>2 02 20302 00 0000 150</t>
  </si>
  <si>
    <t>2 02 20302 04 0000 150</t>
  </si>
  <si>
    <t>Иные межбюджетные трансферты</t>
  </si>
  <si>
    <t>2 02 40000 00 0000 150</t>
  </si>
  <si>
    <t>2 02 45424 00 0000 150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</si>
  <si>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</si>
  <si>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</si>
  <si>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</si>
  <si>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2 02 19999 04 2724 150</t>
  </si>
  <si>
    <t>2 02 30000 00 0000 150</t>
  </si>
  <si>
    <t>2 02 29999 04 7662 150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</si>
  <si>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</si>
  <si>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</si>
  <si>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</si>
  <si>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</si>
  <si>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на создание виртуальных концертных залов</t>
  </si>
  <si>
    <t>Межбюджетные трансферты, передаваемые бюджетам городских округов на создание виртуальных концертных залов</t>
  </si>
  <si>
    <t>2 02 25243 04 0000 150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</si>
  <si>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</si>
  <si>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2 02 25243 00 0000 150</t>
  </si>
  <si>
    <t>Субсидии бюджетам на строительство и реконструкцию (модернизацию) объектов питьевого водоснабжения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</si>
  <si>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</si>
  <si>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</si>
  <si>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</si>
  <si>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</si>
  <si>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2 02 45453 04 0000 150</t>
  </si>
  <si>
    <t>2 02 45453 00 0000 150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</si>
  <si>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</si>
  <si>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1 12 01040 01 0000 120</t>
  </si>
  <si>
    <t xml:space="preserve">Прочие субсидии бюджетам городских округов (на поддержку деятельности муниципальных ресурсных центров поддержки добровольчества (волонтерства)) </t>
  </si>
  <si>
    <t>Прочие межбюджетные трансферты,
 передаваемые бюджетам</t>
  </si>
  <si>
    <t>Прочие межбюджетные трансферты, передаваемые бюджетам городских округов</t>
  </si>
  <si>
    <t>2 02 49999 00 0000 150</t>
  </si>
  <si>
    <t>2 02 49999 04 0000 150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</si>
  <si>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</si>
  <si>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</si>
  <si>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</si>
  <si>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2 02 25467 00 0000 150</t>
  </si>
  <si>
    <t>2 02 25467 04 0000 150</t>
  </si>
  <si>
    <t>2 02 49999 04 7412 150</t>
  </si>
  <si>
    <t>1 13 02064 04 0100 130</t>
  </si>
  <si>
    <t>Возврат прочих остатков субсидий, субвенций и иных межбюджетных трансфертов, имеющих целевое назначение, прошлых лет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</si>
  <si>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</si>
  <si>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1 13 02994 00 0000 130</t>
  </si>
  <si>
    <t>Прочие доходы от компенсации затрат 
бюджетов городских округов</t>
  </si>
  <si>
    <t>1 13 02994 04 0000 130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</si>
  <si>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</si>
  <si>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2 19 0000 00 0000 000 </t>
  </si>
  <si>
    <t xml:space="preserve">2 19 60010 04 0000 150 </t>
  </si>
  <si>
    <t>2 02 49999 04 7418 150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</si>
  <si>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 )</t>
  </si>
  <si>
    <t>Прочие межбюджетные трансферты, передаваемые бюджетам городских округов ( на устройство плоскостных спортивных сооружений в сельской местности)</t>
  </si>
  <si>
    <t>Субсидии бюджетам на реализацию 
мероприятий по обеспечению жильем молодых семей</t>
  </si>
  <si>
    <t>2 02 25497 00 0000 150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</si>
  <si>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</si>
  <si>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</si>
  <si>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2 02 49999 04 7845 150</t>
  </si>
  <si>
    <t>2 02 49999 04 7484 150</t>
  </si>
  <si>
    <t>Прочие межбюджетные трансферты, передаваемые бюджетам городских округов ( на создание (реконструкцию) и капитальный ремонт культурно-досуговых учреждений в сельской местности)</t>
  </si>
  <si>
    <t>2 02 29999 04 7480 150</t>
  </si>
  <si>
    <t>Прочие субсидии бюджетам городских округов (на организацию туристско-рекреационных зон на территории Красноярского края 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</si>
  <si>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</si>
  <si>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</si>
  <si>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</si>
  <si>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1 16 07000 04 0000 140</t>
  </si>
  <si>
    <t>938</t>
  </si>
  <si>
    <t>188</t>
  </si>
  <si>
    <t>Доходы, поступающие в порядке возмещения расходов, понесенных в связи с эксплуатацией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</si>
  <si>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имущества</t>
  </si>
  <si>
    <t>1 13 02060 00 0000 130</t>
  </si>
  <si>
    <t xml:space="preserve">Прочие доходы от компенсации затрат бюджетов </t>
  </si>
  <si>
    <t>1 13 02060 04 0000 130</t>
  </si>
  <si>
    <t>Доходы, поступающие в порядке возмещения расходов, понесенных в связи с эксплуатацией имущества  городских округов</t>
  </si>
  <si>
    <t xml:space="preserve">Прочие доходы от компенсации затрат  бюджетов городских округов (в части возврата дебиторской задолженности прошлых лет краевых целевых средств по предписаниям) 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</si>
  <si>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</si>
  <si>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2 02 49999 04 7555 150</t>
  </si>
  <si>
    <t>Прочие межбюджетные трансферты, передаваемые бюджетам городских округов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</si>
  <si>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2 02 29999 04 2650 150</t>
  </si>
  <si>
    <t>2 02 29999 04 2654 150</t>
  </si>
  <si>
    <t>Прочие субсидии бюджетам городских округов (выполнение требований федеральных стандартов спортивной подготовки)</t>
  </si>
  <si>
    <t>Прочие субсидии бюджетам городских округов (на развитие детско-юношеского спорта)</t>
  </si>
  <si>
    <t>2 02 29999 04 7840 150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</si>
  <si>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</si>
  <si>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2 02 29999 04 7509 150</t>
  </si>
  <si>
    <t>Прочие субсидии бюджетам городских округов ( 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</si>
  <si>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</si>
  <si>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1 14 02042 04 0000 440</t>
  </si>
  <si>
    <t>2 02 29999 04 7844 150</t>
  </si>
  <si>
    <t>Прочие субсидии бюджетам городских округов (на реализацию мероприятий по благоустройству территорий)</t>
  </si>
  <si>
    <t>2 02 29999 04 7454 150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</si>
  <si>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</si>
  <si>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</si>
  <si>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1 14 02000 00 0000 440</t>
  </si>
  <si>
    <t>1 14 02040 04 0000 440</t>
  </si>
  <si>
    <t>1 13 02994 04 0100 130</t>
  </si>
  <si>
    <t>1 13 02994 04 0300 130</t>
  </si>
  <si>
    <t>1 13 02994 04 0310 130</t>
  </si>
  <si>
    <t>Прочие субсидии бюджетам городских округов(на развитие системы патриотического воспитания в рамках деятельности муниципальных молодежных центров)</t>
  </si>
  <si>
    <t>1 16 10031 04 0000 140</t>
  </si>
  <si>
    <t>2 02 29999 04 7430 150</t>
  </si>
  <si>
    <t xml:space="preserve">Прочие субсидии бюджетам городских округов (создание в общеобразовательных организациях, расположенных в сельской местности и малых городах, условий для занятий физической культурой и спортом за счет средств краевого бюджета) 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</si>
  <si>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</t>
  </si>
  <si>
    <t>1 16 10100 01 0000 140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</si>
  <si>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городского округа
</t>
  </si>
  <si>
    <t>1 16 10030 00 0000 140</t>
  </si>
  <si>
    <t>2 02 49999 04 7508 150</t>
  </si>
  <si>
    <t>Прочие межбюджетные трансферты, передаваемые бюджетам городских округов (на содержание автомобильных дорог общего пользования местного значения за счет средств дорожного фонда Красноярского края)</t>
  </si>
  <si>
    <t>2 02 29999 04 7437 150</t>
  </si>
  <si>
    <t>Прочие субсидии бюджетам городских округов (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</si>
  <si>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 xml:space="preserve"> Прочие субсидии бюджетам городских округов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</si>
  <si>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2 02 29999 04 7571 150</t>
  </si>
  <si>
    <t>2 02 29999 04 7476 150</t>
  </si>
  <si>
    <t>Прочие субсидии бюджетам городских округов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</si>
  <si>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2 02 29999 04 7661 150</t>
  </si>
  <si>
    <t xml:space="preserve"> Прочие субсидии бюджетам городских округов (на реализацию инвестиционных проектов субъектами малого и среднего предпринимательства в приоритетных отраслях)</t>
  </si>
  <si>
    <t>2 02 29999 04 7663 150</t>
  </si>
  <si>
    <t xml:space="preserve">Прочие субсидии бюджетам городских округов (на развитие экстремальных видов спорта в рамках деятельности муниципальных молодежных центров) </t>
  </si>
  <si>
    <t>1 12 01041 01 0000 120</t>
  </si>
  <si>
    <t>Плата за размещение отходов производства</t>
  </si>
  <si>
    <t>2 02 29999 04 7603 150</t>
  </si>
  <si>
    <t>Прочие субсидии бюджетам городских округов (на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метра)</t>
  </si>
  <si>
    <t>Прочие межбюджетные трансферты, передаваемые бюджетам городских округов (за содействие развитию налогового потенциала)</t>
  </si>
  <si>
    <t>2 02 49999 04 7745 150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</si>
  <si>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</si>
  <si>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</si>
  <si>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</si>
  <si>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</t>
  </si>
  <si>
    <t>2 18 00000 00 0000 000</t>
  </si>
  <si>
    <t>2 18 00000 04 0000 150</t>
  </si>
  <si>
    <t>2 18 04000 04 0000 150</t>
  </si>
  <si>
    <t>2 18 04010 04 0000 150</t>
  </si>
  <si>
    <t>964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</si>
  <si>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</si>
  <si>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</si>
  <si>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</si>
  <si>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1 14 02043 04 0000 410</t>
  </si>
  <si>
    <t>2 02 29999 04 7395 150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</si>
  <si>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</si>
  <si>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2 02 29999 04 7668 150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</si>
  <si>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</si>
  <si>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2 02 29999 04 7398 150</t>
  </si>
  <si>
    <t>Прочие субсидии бюджетам городских округов (на проведение мероприятий, направленных на обеспечение безопасного участия детей в дорожном движении)</t>
  </si>
  <si>
    <t>032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</si>
  <si>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</si>
  <si>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</si>
  <si>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976</t>
  </si>
  <si>
    <t>Инициативные платежи, зачисляемые в бюджеты городских округов(проект «Детская спортивно-игровая площадка «На Нагорной»»)</t>
  </si>
  <si>
    <t>1 17 15020 04 0002 150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</si>
  <si>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</si>
  <si>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</si>
  <si>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1 09 07030 00 0000 110</t>
  </si>
  <si>
    <t>1 09 07030 04 0000 110</t>
  </si>
  <si>
    <t>2 02 49999 04 1034 150</t>
  </si>
  <si>
    <t>Прочие межбюджетные трансферты, передаваемые бюджетам городских округов (на финансовое обеспечение (возмещение) расходных обязательств муниципальных образований, связанных с увеличением с 1 июня 2022 года региональных выплат)</t>
  </si>
  <si>
    <t>1 16 10100 04 0000 140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</si>
  <si>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</si>
  <si>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</si>
  <si>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</si>
  <si>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11302994040200130</t>
  </si>
  <si>
    <t>Прочие доходы от компенсации затрат бюджетов городских округов (в части возврата дебиторской задолженности прошлых лет по средствам местного бюджета)</t>
  </si>
  <si>
    <t>2 02 49999 04 0853 150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</si>
  <si>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</si>
  <si>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Единый сельскохозяйственный налог</t>
  </si>
  <si>
    <t>1 05 03010 01 0000 110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</si>
  <si>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</si>
  <si>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</si>
  <si>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 xml:space="preserve">% исполнения
</t>
  </si>
  <si>
    <t>План на 2022 год
тыс. рублей</t>
  </si>
  <si>
    <t xml:space="preserve">Исполнено тыс. рублей
</t>
  </si>
  <si>
    <t>Невыясненные поступления</t>
  </si>
  <si>
    <t>Невыясненные поступления, зачисляемые в бюджеты городских округов</t>
  </si>
  <si>
    <t>1 17 01000 00 0000 180</t>
  </si>
  <si>
    <t>1 17 01040 04 0000 180</t>
  </si>
  <si>
    <t xml:space="preserve">Исполнение доходов  бюджета  г.Дивногорска на 2022 год </t>
  </si>
  <si>
    <r>
      <rPr>
        <b/>
        <sz val="12"/>
        <rFont val="Arial"/>
        <family val="2"/>
        <charset val="204"/>
      </rPr>
      <t>Приложение 2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24 мая 2023 г. № 34 - 204 - НПА
 "Об исполнении бюджете города Дивногорска за 2022 год"  </t>
    </r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</si>
</sst>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_-* #,##0.000000\ _₽_-;\-* #,##0.000000\ _₽_-;_-* &quot;-&quot;??????\ _₽_-;_-@_-"/>
    <numFmt numFmtId="167" formatCode="#,##0.0"/>
    <numFmt numFmtId="168" formatCode="0.000000"/>
    <numFmt numFmtId="169" formatCode="0.0"/>
  </numFmts>
  <fonts count="15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  <xf numFmtId="43" fontId="13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</cellStyleXfs>
  <cellXfs count="83">
    <xf numFmtId="0" fontId="0" fillId="0" borderId="0" xfId="0"/>
    <xf numFmtId="0" fontId="1" fillId="0" borderId="0" xfId="0" applyFont="1" applyBorder="1" applyAlignment="1" applyProtection="1">
      <alignment wrapText="1"/>
    </xf>
    <xf numFmtId="0" fontId="5" fillId="0" borderId="0" xfId="4" applyFont="1" applyAlignment="1">
      <alignment horizontal="right" vertical="top" wrapText="1"/>
    </xf>
    <xf numFmtId="0" fontId="7" fillId="0" borderId="3" xfId="0" applyFont="1" applyBorder="1" applyAlignment="1">
      <alignment horizontal="center" vertical="center"/>
    </xf>
    <xf numFmtId="0" fontId="5" fillId="0" borderId="0" xfId="0" applyFont="1" applyBorder="1" applyAlignment="1" applyProtection="1">
      <alignment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66" fontId="0" fillId="0" borderId="0" xfId="0" applyNumberFormat="1"/>
    <xf numFmtId="168" fontId="0" fillId="0" borderId="0" xfId="0" applyNumberFormat="1"/>
    <xf numFmtId="0" fontId="9" fillId="0" borderId="1" xfId="0" applyFont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165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49" fontId="5" fillId="0" borderId="6" xfId="13" applyNumberFormat="1" applyFont="1" applyFill="1" applyBorder="1" applyAlignment="1" applyProtection="1">
      <alignment horizontal="center" vertical="center" wrapText="1"/>
    </xf>
    <xf numFmtId="49" fontId="5" fillId="0" borderId="4" xfId="13" applyNumberFormat="1" applyFont="1" applyFill="1" applyBorder="1" applyAlignment="1" applyProtection="1">
      <alignment horizontal="left" vertical="center" wrapText="1"/>
    </xf>
    <xf numFmtId="49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wrapText="1"/>
    </xf>
    <xf numFmtId="0" fontId="10" fillId="0" borderId="1" xfId="0" applyFont="1" applyFill="1" applyBorder="1" applyAlignment="1">
      <alignment wrapText="1"/>
    </xf>
    <xf numFmtId="0" fontId="14" fillId="0" borderId="1" xfId="7" applyFont="1" applyFill="1" applyBorder="1" applyAlignment="1">
      <alignment vertical="top" wrapText="1"/>
    </xf>
    <xf numFmtId="49" fontId="5" fillId="0" borderId="5" xfId="0" applyNumberFormat="1" applyFont="1" applyFill="1" applyBorder="1" applyAlignment="1" applyProtection="1">
      <alignment horizontal="center" vertical="center" wrapText="1"/>
    </xf>
    <xf numFmtId="49" fontId="5" fillId="0" borderId="5" xfId="0" applyNumberFormat="1" applyFont="1" applyFill="1" applyBorder="1" applyAlignment="1" applyProtection="1">
      <alignment horizontal="left" vertical="center" wrapText="1"/>
    </xf>
    <xf numFmtId="165" fontId="6" fillId="0" borderId="4" xfId="11" applyNumberFormat="1" applyFont="1" applyFill="1" applyBorder="1" applyAlignment="1" applyProtection="1">
      <alignment horizontal="left" vertical="center" wrapText="1"/>
    </xf>
    <xf numFmtId="165" fontId="5" fillId="0" borderId="4" xfId="11" applyNumberFormat="1" applyFont="1" applyFill="1" applyBorder="1" applyAlignment="1" applyProtection="1">
      <alignment horizontal="left" vertical="center" wrapText="1"/>
    </xf>
    <xf numFmtId="165" fontId="5" fillId="0" borderId="4" xfId="13" applyNumberFormat="1" applyFont="1" applyFill="1" applyBorder="1" applyAlignment="1" applyProtection="1">
      <alignment horizontal="left" vertical="center" wrapText="1"/>
    </xf>
    <xf numFmtId="165" fontId="5" fillId="0" borderId="1" xfId="11" applyNumberFormat="1" applyFont="1" applyFill="1" applyBorder="1" applyAlignment="1" applyProtection="1">
      <alignment horizontal="left" vertical="center" wrapText="1"/>
    </xf>
    <xf numFmtId="49" fontId="5" fillId="0" borderId="1" xfId="11" applyNumberFormat="1" applyFont="1" applyFill="1" applyBorder="1" applyAlignment="1" applyProtection="1">
      <alignment horizontal="left" vertical="center" wrapText="1"/>
    </xf>
    <xf numFmtId="49" fontId="5" fillId="0" borderId="1" xfId="10" applyNumberFormat="1" applyFont="1" applyFill="1" applyBorder="1" applyAlignment="1" applyProtection="1">
      <alignment horizontal="left" vertical="center" wrapText="1"/>
    </xf>
    <xf numFmtId="165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165" fontId="5" fillId="0" borderId="1" xfId="12" applyNumberFormat="1" applyFont="1" applyFill="1" applyBorder="1" applyAlignment="1" applyProtection="1">
      <alignment horizontal="left" vertical="center" wrapText="1"/>
    </xf>
    <xf numFmtId="49" fontId="6" fillId="0" borderId="1" xfId="8" applyNumberFormat="1" applyFont="1" applyFill="1" applyBorder="1" applyAlignment="1" applyProtection="1">
      <alignment horizontal="center" vertical="center" wrapText="1"/>
    </xf>
    <xf numFmtId="49" fontId="5" fillId="0" borderId="1" xfId="8" applyNumberFormat="1" applyFont="1" applyFill="1" applyBorder="1" applyAlignment="1" applyProtection="1">
      <alignment horizontal="center" vertical="center" wrapText="1"/>
    </xf>
    <xf numFmtId="0" fontId="5" fillId="0" borderId="1" xfId="7" applyNumberFormat="1" applyFont="1" applyFill="1" applyBorder="1" applyAlignment="1">
      <alignment horizontal="left" vertical="top" wrapText="1"/>
    </xf>
    <xf numFmtId="49" fontId="6" fillId="0" borderId="1" xfId="8" applyNumberFormat="1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>
      <alignment wrapText="1"/>
    </xf>
    <xf numFmtId="0" fontId="10" fillId="0" borderId="0" xfId="0" applyFont="1" applyFill="1" applyAlignment="1">
      <alignment horizontal="justify" vertical="top" wrapText="1"/>
    </xf>
    <xf numFmtId="49" fontId="5" fillId="0" borderId="1" xfId="8" applyNumberFormat="1" applyFont="1" applyFill="1" applyBorder="1" applyAlignment="1" applyProtection="1">
      <alignment horizontal="left" vertical="center" wrapText="1"/>
    </xf>
    <xf numFmtId="0" fontId="5" fillId="0" borderId="1" xfId="8" applyNumberFormat="1" applyFont="1" applyFill="1" applyBorder="1" applyAlignment="1" applyProtection="1">
      <alignment horizontal="left" vertical="center" wrapText="1"/>
    </xf>
    <xf numFmtId="165" fontId="5" fillId="0" borderId="1" xfId="8" applyNumberFormat="1" applyFont="1" applyFill="1" applyBorder="1" applyAlignment="1" applyProtection="1">
      <alignment horizontal="left" vertical="center" wrapText="1"/>
    </xf>
    <xf numFmtId="165" fontId="6" fillId="0" borderId="1" xfId="8" applyNumberFormat="1" applyFont="1" applyFill="1" applyBorder="1" applyAlignment="1" applyProtection="1">
      <alignment horizontal="left" vertical="center" wrapText="1"/>
    </xf>
    <xf numFmtId="0" fontId="11" fillId="0" borderId="1" xfId="0" applyFont="1" applyFill="1" applyBorder="1"/>
    <xf numFmtId="49" fontId="5" fillId="0" borderId="1" xfId="8" applyNumberFormat="1" applyFont="1" applyFill="1" applyBorder="1" applyAlignment="1" applyProtection="1">
      <alignment vertical="center" wrapText="1"/>
    </xf>
    <xf numFmtId="0" fontId="10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wrapText="1"/>
    </xf>
    <xf numFmtId="0" fontId="5" fillId="0" borderId="1" xfId="8" applyNumberFormat="1" applyFont="1" applyFill="1" applyBorder="1" applyAlignment="1" applyProtection="1">
      <alignment horizontal="center" vertical="center" wrapText="1"/>
    </xf>
    <xf numFmtId="49" fontId="6" fillId="0" borderId="6" xfId="11" applyNumberFormat="1" applyFont="1" applyFill="1" applyBorder="1" applyAlignment="1" applyProtection="1">
      <alignment horizontal="center" vertical="center" wrapText="1"/>
    </xf>
    <xf numFmtId="49" fontId="6" fillId="0" borderId="4" xfId="11" applyNumberFormat="1" applyFont="1" applyFill="1" applyBorder="1" applyAlignment="1" applyProtection="1">
      <alignment horizontal="left" vertical="center" wrapText="1"/>
    </xf>
    <xf numFmtId="49" fontId="5" fillId="0" borderId="5" xfId="11" applyNumberFormat="1" applyFont="1" applyFill="1" applyBorder="1" applyAlignment="1" applyProtection="1">
      <alignment horizontal="center" vertical="center" wrapText="1"/>
    </xf>
    <xf numFmtId="49" fontId="5" fillId="0" borderId="5" xfId="11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67" fontId="6" fillId="0" borderId="2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 applyProtection="1">
      <alignment horizontal="center" vertical="center" wrapText="1"/>
    </xf>
    <xf numFmtId="167" fontId="5" fillId="0" borderId="1" xfId="0" applyNumberFormat="1" applyFont="1" applyFill="1" applyBorder="1" applyAlignment="1" applyProtection="1">
      <alignment horizontal="center" vertical="center" wrapText="1"/>
    </xf>
    <xf numFmtId="167" fontId="6" fillId="0" borderId="1" xfId="9" applyNumberFormat="1" applyFont="1" applyFill="1" applyBorder="1" applyAlignment="1">
      <alignment horizontal="center"/>
    </xf>
    <xf numFmtId="49" fontId="5" fillId="0" borderId="6" xfId="11" applyNumberFormat="1" applyFont="1" applyFill="1" applyBorder="1" applyAlignment="1" applyProtection="1">
      <alignment horizontal="center" vertical="center" wrapText="1"/>
    </xf>
    <xf numFmtId="49" fontId="5" fillId="0" borderId="4" xfId="11" applyNumberFormat="1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center"/>
    </xf>
    <xf numFmtId="167" fontId="5" fillId="0" borderId="1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 applyProtection="1">
      <alignment horizontal="center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0" borderId="6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169" fontId="5" fillId="0" borderId="1" xfId="0" applyNumberFormat="1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4" applyFont="1" applyAlignment="1">
      <alignment horizontal="right" vertical="top" wrapText="1"/>
    </xf>
    <xf numFmtId="0" fontId="6" fillId="0" borderId="1" xfId="0" applyFont="1" applyFill="1" applyBorder="1" applyAlignment="1">
      <alignment horizontal="left"/>
    </xf>
    <xf numFmtId="0" fontId="6" fillId="0" borderId="0" xfId="7" applyFont="1" applyBorder="1" applyAlignment="1">
      <alignment horizontal="center" vertical="center" wrapText="1"/>
    </xf>
  </cellXfs>
  <cellStyles count="14">
    <cellStyle name="Обычный" xfId="0" builtinId="0"/>
    <cellStyle name="Обычный 2" xfId="2"/>
    <cellStyle name="Обычный 3" xfId="3"/>
    <cellStyle name="Обычный_динамика_1" xfId="10"/>
    <cellStyle name="Обычный_ДЧБ" xfId="1"/>
    <cellStyle name="Обычный_ДЧБ_2" xfId="8"/>
    <cellStyle name="Обычный_Лист1" xfId="7"/>
    <cellStyle name="Обычный_Лист1_1" xfId="11"/>
    <cellStyle name="Обычный_Приложение" xfId="13"/>
    <cellStyle name="Обычный_Приложение 5  доходов  2021_1" xfId="12"/>
    <cellStyle name="Стиль 1" xfId="4"/>
    <cellStyle name="Финансовый" xfId="9" builtinId="3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5"/>
  <sheetViews>
    <sheetView tabSelected="1" workbookViewId="0">
      <selection activeCell="J11" sqref="J11"/>
    </sheetView>
  </sheetViews>
  <sheetFormatPr defaultRowHeight="12.75"/>
  <cols>
    <col min="1" max="1" width="4.5703125" customWidth="1"/>
    <col min="2" max="2" width="7.28515625" customWidth="1"/>
    <col min="3" max="3" width="26.42578125" customWidth="1"/>
    <col min="4" max="4" width="39.42578125" customWidth="1"/>
    <col min="5" max="5" width="15.85546875" customWidth="1"/>
    <col min="6" max="6" width="14.140625" customWidth="1"/>
    <col min="7" max="7" width="10.7109375" customWidth="1"/>
  </cols>
  <sheetData>
    <row r="1" spans="1:7" ht="61.15" customHeight="1">
      <c r="B1" s="80" t="s">
        <v>467</v>
      </c>
      <c r="C1" s="80"/>
      <c r="D1" s="80"/>
      <c r="E1" s="80"/>
      <c r="F1" s="80"/>
      <c r="G1" s="80"/>
    </row>
    <row r="2" spans="1:7" ht="16.149999999999999" customHeight="1">
      <c r="B2" s="2"/>
      <c r="C2" s="2"/>
      <c r="D2" s="2"/>
      <c r="E2" s="2"/>
    </row>
    <row r="3" spans="1:7" ht="15.6" customHeight="1">
      <c r="B3" s="82" t="s">
        <v>466</v>
      </c>
      <c r="C3" s="82"/>
      <c r="D3" s="82"/>
      <c r="E3" s="82"/>
      <c r="F3" s="82"/>
      <c r="G3" s="82"/>
    </row>
    <row r="4" spans="1:7" ht="15">
      <c r="B4" s="1"/>
      <c r="C4" s="1"/>
      <c r="D4" s="1"/>
      <c r="E4" s="4"/>
    </row>
    <row r="5" spans="1:7" ht="13.15" customHeight="1">
      <c r="A5" s="75" t="s">
        <v>190</v>
      </c>
      <c r="B5" s="77" t="s">
        <v>0</v>
      </c>
      <c r="C5" s="77" t="s">
        <v>46</v>
      </c>
      <c r="D5" s="77" t="s">
        <v>191</v>
      </c>
      <c r="E5" s="78" t="s">
        <v>460</v>
      </c>
      <c r="F5" s="78" t="s">
        <v>461</v>
      </c>
      <c r="G5" s="78" t="s">
        <v>459</v>
      </c>
    </row>
    <row r="6" spans="1:7" ht="42.6" customHeight="1">
      <c r="A6" s="76"/>
      <c r="B6" s="77"/>
      <c r="C6" s="77"/>
      <c r="D6" s="77"/>
      <c r="E6" s="79"/>
      <c r="F6" s="79"/>
      <c r="G6" s="79"/>
    </row>
    <row r="7" spans="1:7" ht="16.899999999999999" customHeight="1">
      <c r="A7" s="3">
        <v>1</v>
      </c>
      <c r="B7" s="11" t="s">
        <v>276</v>
      </c>
      <c r="C7" s="11" t="s">
        <v>277</v>
      </c>
      <c r="D7" s="11" t="s">
        <v>278</v>
      </c>
      <c r="E7" s="10">
        <v>5</v>
      </c>
      <c r="F7" s="67">
        <v>6</v>
      </c>
      <c r="G7" s="67">
        <v>7</v>
      </c>
    </row>
    <row r="8" spans="1:7" ht="31.5">
      <c r="A8" s="9">
        <v>1</v>
      </c>
      <c r="B8" s="12" t="s">
        <v>49</v>
      </c>
      <c r="C8" s="12" t="s">
        <v>50</v>
      </c>
      <c r="D8" s="13" t="s">
        <v>2</v>
      </c>
      <c r="E8" s="62">
        <f>E9+E19+E28+E40+E48+E53+E57+E71+E77+E92+E105+E109+E143</f>
        <v>659108.64588999993</v>
      </c>
      <c r="F8" s="62">
        <f>F9+F19+F28+F40+F48+F53+F57+F71+F77+F92+F105+F109+F143</f>
        <v>675254.79803000018</v>
      </c>
      <c r="G8" s="74">
        <f>F8/E8*100</f>
        <v>102.44969509058677</v>
      </c>
    </row>
    <row r="9" spans="1:7" ht="31.5">
      <c r="A9" s="9">
        <f>A8+1</f>
        <v>2</v>
      </c>
      <c r="B9" s="12" t="s">
        <v>49</v>
      </c>
      <c r="C9" s="12" t="s">
        <v>51</v>
      </c>
      <c r="D9" s="13" t="s">
        <v>10</v>
      </c>
      <c r="E9" s="62">
        <f>E10+E13</f>
        <v>461157.15988000005</v>
      </c>
      <c r="F9" s="62">
        <f>F10+F13</f>
        <v>461229.03873000003</v>
      </c>
      <c r="G9" s="74">
        <f t="shared" ref="G9:G72" si="0">F9/E9*100</f>
        <v>100.01558662778187</v>
      </c>
    </row>
    <row r="10" spans="1:7" ht="31.5">
      <c r="A10" s="9">
        <f t="shared" ref="A10:A73" si="1">A9+1</f>
        <v>3</v>
      </c>
      <c r="B10" s="12" t="s">
        <v>49</v>
      </c>
      <c r="C10" s="12" t="s">
        <v>52</v>
      </c>
      <c r="D10" s="13" t="s">
        <v>11</v>
      </c>
      <c r="E10" s="62">
        <f>E12</f>
        <v>277021.60400000005</v>
      </c>
      <c r="F10" s="62">
        <f>F12</f>
        <v>263355.20046999998</v>
      </c>
      <c r="G10" s="74">
        <f t="shared" si="0"/>
        <v>95.066665078583526</v>
      </c>
    </row>
    <row r="11" spans="1:7" ht="75">
      <c r="A11" s="9">
        <f t="shared" si="1"/>
        <v>4</v>
      </c>
      <c r="B11" s="14" t="s">
        <v>49</v>
      </c>
      <c r="C11" s="14" t="s">
        <v>54</v>
      </c>
      <c r="D11" s="15" t="s">
        <v>55</v>
      </c>
      <c r="E11" s="62">
        <f>E12</f>
        <v>277021.60400000005</v>
      </c>
      <c r="F11" s="62">
        <f>F12</f>
        <v>263355.20046999998</v>
      </c>
      <c r="G11" s="74">
        <f t="shared" si="0"/>
        <v>95.066665078583526</v>
      </c>
    </row>
    <row r="12" spans="1:7" ht="75">
      <c r="A12" s="9">
        <f t="shared" si="1"/>
        <v>5</v>
      </c>
      <c r="B12" s="14" t="s">
        <v>9</v>
      </c>
      <c r="C12" s="14" t="s">
        <v>53</v>
      </c>
      <c r="D12" s="15" t="s">
        <v>12</v>
      </c>
      <c r="E12" s="63">
        <f>308180+11600-7458.551-35299.845</f>
        <v>277021.60400000005</v>
      </c>
      <c r="F12" s="68">
        <v>263355.20046999998</v>
      </c>
      <c r="G12" s="73">
        <f t="shared" si="0"/>
        <v>95.066665078583526</v>
      </c>
    </row>
    <row r="13" spans="1:7" ht="31.5">
      <c r="A13" s="9">
        <f t="shared" si="1"/>
        <v>6</v>
      </c>
      <c r="B13" s="12" t="s">
        <v>49</v>
      </c>
      <c r="C13" s="12" t="s">
        <v>56</v>
      </c>
      <c r="D13" s="13" t="s">
        <v>13</v>
      </c>
      <c r="E13" s="62">
        <f>SUM(E14:E18)</f>
        <v>184135.55588</v>
      </c>
      <c r="F13" s="62">
        <f>SUM(F14:F18)</f>
        <v>197873.83826000002</v>
      </c>
      <c r="G13" s="74">
        <f t="shared" si="0"/>
        <v>107.4609612002112</v>
      </c>
    </row>
    <row r="14" spans="1:7" ht="109.9" customHeight="1">
      <c r="A14" s="9">
        <f t="shared" si="1"/>
        <v>7</v>
      </c>
      <c r="B14" s="14" t="s">
        <v>9</v>
      </c>
      <c r="C14" s="14" t="s">
        <v>57</v>
      </c>
      <c r="D14" s="16" t="s">
        <v>47</v>
      </c>
      <c r="E14" s="63">
        <f>170553.1+2600+1750</f>
        <v>174903.1</v>
      </c>
      <c r="F14" s="68">
        <v>188411.12572000001</v>
      </c>
      <c r="G14" s="73">
        <f t="shared" si="0"/>
        <v>107.72314825752088</v>
      </c>
    </row>
    <row r="15" spans="1:7" ht="210">
      <c r="A15" s="9">
        <f t="shared" si="1"/>
        <v>8</v>
      </c>
      <c r="B15" s="14" t="s">
        <v>9</v>
      </c>
      <c r="C15" s="14" t="s">
        <v>58</v>
      </c>
      <c r="D15" s="16" t="s">
        <v>61</v>
      </c>
      <c r="E15" s="63">
        <f>815.6-100</f>
        <v>715.6</v>
      </c>
      <c r="F15" s="68">
        <v>657.40617999999995</v>
      </c>
      <c r="G15" s="73">
        <f t="shared" si="0"/>
        <v>91.8678283957518</v>
      </c>
    </row>
    <row r="16" spans="1:7" ht="75">
      <c r="A16" s="9">
        <f t="shared" si="1"/>
        <v>9</v>
      </c>
      <c r="B16" s="14" t="s">
        <v>9</v>
      </c>
      <c r="C16" s="14" t="s">
        <v>59</v>
      </c>
      <c r="D16" s="15" t="s">
        <v>14</v>
      </c>
      <c r="E16" s="63">
        <f>3148.2-500</f>
        <v>2648.2</v>
      </c>
      <c r="F16" s="68">
        <v>2509.9252700000002</v>
      </c>
      <c r="G16" s="73">
        <f t="shared" si="0"/>
        <v>94.778539007627842</v>
      </c>
    </row>
    <row r="17" spans="1:7" ht="165">
      <c r="A17" s="9">
        <f t="shared" si="1"/>
        <v>10</v>
      </c>
      <c r="B17" s="14" t="s">
        <v>9</v>
      </c>
      <c r="C17" s="14" t="s">
        <v>60</v>
      </c>
      <c r="D17" s="16" t="s">
        <v>62</v>
      </c>
      <c r="E17" s="63">
        <f>709.3-150</f>
        <v>559.29999999999995</v>
      </c>
      <c r="F17" s="68">
        <v>511.45845000000003</v>
      </c>
      <c r="G17" s="73">
        <f t="shared" si="0"/>
        <v>91.44617378866441</v>
      </c>
    </row>
    <row r="18" spans="1:7" ht="180">
      <c r="A18" s="9">
        <f t="shared" si="1"/>
        <v>11</v>
      </c>
      <c r="B18" s="14" t="s">
        <v>9</v>
      </c>
      <c r="C18" s="14" t="s">
        <v>64</v>
      </c>
      <c r="D18" s="17" t="s">
        <v>63</v>
      </c>
      <c r="E18" s="63">
        <f>5741.8+907.55588+2160-2500-1000</f>
        <v>5309.3558799999992</v>
      </c>
      <c r="F18" s="68">
        <v>5783.9226399999998</v>
      </c>
      <c r="G18" s="73">
        <f t="shared" si="0"/>
        <v>108.93831136442864</v>
      </c>
    </row>
    <row r="19" spans="1:7" ht="63">
      <c r="A19" s="9">
        <f t="shared" si="1"/>
        <v>12</v>
      </c>
      <c r="B19" s="12" t="s">
        <v>49</v>
      </c>
      <c r="C19" s="12" t="s">
        <v>65</v>
      </c>
      <c r="D19" s="13" t="s">
        <v>8</v>
      </c>
      <c r="E19" s="62">
        <f>E20+E22+E24+E26</f>
        <v>3147.1</v>
      </c>
      <c r="F19" s="62">
        <f>F20+F22+F24+F26</f>
        <v>3631.5363799999996</v>
      </c>
      <c r="G19" s="73">
        <f t="shared" si="0"/>
        <v>115.39310412760952</v>
      </c>
    </row>
    <row r="20" spans="1:7" ht="120">
      <c r="A20" s="9">
        <f t="shared" si="1"/>
        <v>13</v>
      </c>
      <c r="B20" s="14" t="s">
        <v>49</v>
      </c>
      <c r="C20" s="14" t="s">
        <v>70</v>
      </c>
      <c r="D20" s="15" t="s">
        <v>71</v>
      </c>
      <c r="E20" s="63">
        <f>E21</f>
        <v>1422.9</v>
      </c>
      <c r="F20" s="63">
        <f>F21</f>
        <v>1820.5147300000001</v>
      </c>
      <c r="G20" s="73">
        <f t="shared" si="0"/>
        <v>127.94396865556259</v>
      </c>
    </row>
    <row r="21" spans="1:7" ht="195">
      <c r="A21" s="9">
        <f t="shared" si="1"/>
        <v>14</v>
      </c>
      <c r="B21" s="14" t="s">
        <v>7</v>
      </c>
      <c r="C21" s="14" t="s">
        <v>66</v>
      </c>
      <c r="D21" s="16" t="s">
        <v>72</v>
      </c>
      <c r="E21" s="63">
        <v>1422.9</v>
      </c>
      <c r="F21" s="68">
        <v>1820.5147300000001</v>
      </c>
      <c r="G21" s="73">
        <f t="shared" si="0"/>
        <v>127.94396865556259</v>
      </c>
    </row>
    <row r="22" spans="1:7" ht="150">
      <c r="A22" s="9">
        <f t="shared" si="1"/>
        <v>15</v>
      </c>
      <c r="B22" s="14" t="s">
        <v>49</v>
      </c>
      <c r="C22" s="14" t="s">
        <v>73</v>
      </c>
      <c r="D22" s="16" t="s">
        <v>74</v>
      </c>
      <c r="E22" s="63">
        <f>E23</f>
        <v>7.9</v>
      </c>
      <c r="F22" s="63">
        <f>F23</f>
        <v>9.8336000000000006</v>
      </c>
      <c r="G22" s="73">
        <f t="shared" si="0"/>
        <v>124.47594936708862</v>
      </c>
    </row>
    <row r="23" spans="1:7" ht="196.15" customHeight="1">
      <c r="A23" s="9">
        <f t="shared" si="1"/>
        <v>16</v>
      </c>
      <c r="B23" s="14" t="s">
        <v>7</v>
      </c>
      <c r="C23" s="14" t="s">
        <v>67</v>
      </c>
      <c r="D23" s="16" t="s">
        <v>75</v>
      </c>
      <c r="E23" s="63">
        <v>7.9</v>
      </c>
      <c r="F23" s="68">
        <v>9.8336000000000006</v>
      </c>
      <c r="G23" s="73">
        <f t="shared" si="0"/>
        <v>124.47594936708862</v>
      </c>
    </row>
    <row r="24" spans="1:7" ht="120">
      <c r="A24" s="9">
        <f t="shared" si="1"/>
        <v>17</v>
      </c>
      <c r="B24" s="14" t="s">
        <v>49</v>
      </c>
      <c r="C24" s="14" t="s">
        <v>76</v>
      </c>
      <c r="D24" s="16" t="s">
        <v>77</v>
      </c>
      <c r="E24" s="63">
        <f>E25</f>
        <v>1894.7</v>
      </c>
      <c r="F24" s="63">
        <f>F25</f>
        <v>2010.05386</v>
      </c>
      <c r="G24" s="73">
        <f t="shared" si="0"/>
        <v>106.08823877130943</v>
      </c>
    </row>
    <row r="25" spans="1:7" ht="195">
      <c r="A25" s="9">
        <f t="shared" si="1"/>
        <v>18</v>
      </c>
      <c r="B25" s="14" t="s">
        <v>7</v>
      </c>
      <c r="C25" s="14" t="s">
        <v>68</v>
      </c>
      <c r="D25" s="16" t="s">
        <v>78</v>
      </c>
      <c r="E25" s="63">
        <v>1894.7</v>
      </c>
      <c r="F25" s="68">
        <v>2010.05386</v>
      </c>
      <c r="G25" s="73">
        <f t="shared" si="0"/>
        <v>106.08823877130943</v>
      </c>
    </row>
    <row r="26" spans="1:7" ht="120">
      <c r="A26" s="9">
        <f t="shared" si="1"/>
        <v>19</v>
      </c>
      <c r="B26" s="14" t="s">
        <v>49</v>
      </c>
      <c r="C26" s="14" t="s">
        <v>79</v>
      </c>
      <c r="D26" s="16" t="s">
        <v>80</v>
      </c>
      <c r="E26" s="63">
        <f>E27</f>
        <v>-178.4</v>
      </c>
      <c r="F26" s="63">
        <f>F27</f>
        <v>-208.86581000000001</v>
      </c>
      <c r="G26" s="73">
        <f t="shared" si="0"/>
        <v>117.07724775784753</v>
      </c>
    </row>
    <row r="27" spans="1:7" ht="195">
      <c r="A27" s="9">
        <f t="shared" si="1"/>
        <v>20</v>
      </c>
      <c r="B27" s="14" t="s">
        <v>7</v>
      </c>
      <c r="C27" s="14" t="s">
        <v>69</v>
      </c>
      <c r="D27" s="16" t="s">
        <v>81</v>
      </c>
      <c r="E27" s="63">
        <v>-178.4</v>
      </c>
      <c r="F27" s="68">
        <v>-208.86581000000001</v>
      </c>
      <c r="G27" s="73">
        <f t="shared" si="0"/>
        <v>117.07724775784753</v>
      </c>
    </row>
    <row r="28" spans="1:7" ht="31.5">
      <c r="A28" s="9">
        <f t="shared" si="1"/>
        <v>21</v>
      </c>
      <c r="B28" s="14" t="s">
        <v>49</v>
      </c>
      <c r="C28" s="12" t="s">
        <v>83</v>
      </c>
      <c r="D28" s="13" t="s">
        <v>15</v>
      </c>
      <c r="E28" s="62">
        <f>E29+E34+E38+E36</f>
        <v>47840.430000000008</v>
      </c>
      <c r="F28" s="62">
        <f>F29+F34+F38+F36</f>
        <v>55231.311120000006</v>
      </c>
      <c r="G28" s="74">
        <f t="shared" si="0"/>
        <v>115.449027360331</v>
      </c>
    </row>
    <row r="29" spans="1:7" ht="45">
      <c r="A29" s="9">
        <f t="shared" si="1"/>
        <v>22</v>
      </c>
      <c r="B29" s="14" t="s">
        <v>49</v>
      </c>
      <c r="C29" s="14" t="s">
        <v>84</v>
      </c>
      <c r="D29" s="15" t="s">
        <v>82</v>
      </c>
      <c r="E29" s="63">
        <f>E30+E32</f>
        <v>39199.630000000005</v>
      </c>
      <c r="F29" s="63">
        <f>F30+F32</f>
        <v>44472.638709999999</v>
      </c>
      <c r="G29" s="73">
        <f t="shared" si="0"/>
        <v>113.45167979901849</v>
      </c>
    </row>
    <row r="30" spans="1:7" ht="60">
      <c r="A30" s="9">
        <f t="shared" si="1"/>
        <v>23</v>
      </c>
      <c r="B30" s="14" t="s">
        <v>49</v>
      </c>
      <c r="C30" s="14" t="s">
        <v>87</v>
      </c>
      <c r="D30" s="15" t="s">
        <v>16</v>
      </c>
      <c r="E30" s="63">
        <f>E31</f>
        <v>26268.43</v>
      </c>
      <c r="F30" s="63">
        <f>F31</f>
        <v>30861.934580000001</v>
      </c>
      <c r="G30" s="73">
        <f t="shared" si="0"/>
        <v>117.48678767630956</v>
      </c>
    </row>
    <row r="31" spans="1:7" ht="60">
      <c r="A31" s="9">
        <f t="shared" si="1"/>
        <v>24</v>
      </c>
      <c r="B31" s="14" t="s">
        <v>9</v>
      </c>
      <c r="C31" s="14" t="s">
        <v>85</v>
      </c>
      <c r="D31" s="15" t="s">
        <v>16</v>
      </c>
      <c r="E31" s="63">
        <f>23969.63+1294.1+1000+4.7</f>
        <v>26268.43</v>
      </c>
      <c r="F31" s="68">
        <v>30861.934580000001</v>
      </c>
      <c r="G31" s="73">
        <f t="shared" si="0"/>
        <v>117.48678767630956</v>
      </c>
    </row>
    <row r="32" spans="1:7" ht="90">
      <c r="A32" s="9">
        <f t="shared" si="1"/>
        <v>25</v>
      </c>
      <c r="B32" s="14" t="s">
        <v>49</v>
      </c>
      <c r="C32" s="14" t="s">
        <v>88</v>
      </c>
      <c r="D32" s="15" t="s">
        <v>89</v>
      </c>
      <c r="E32" s="63">
        <f>E33</f>
        <v>12931.2</v>
      </c>
      <c r="F32" s="63">
        <f>F33</f>
        <v>13610.70413</v>
      </c>
      <c r="G32" s="73">
        <f t="shared" si="0"/>
        <v>105.25476467767878</v>
      </c>
    </row>
    <row r="33" spans="1:7" ht="135">
      <c r="A33" s="9">
        <f t="shared" si="1"/>
        <v>26</v>
      </c>
      <c r="B33" s="14" t="s">
        <v>9</v>
      </c>
      <c r="C33" s="14" t="s">
        <v>86</v>
      </c>
      <c r="D33" s="15" t="s">
        <v>17</v>
      </c>
      <c r="E33" s="63">
        <f>8003.1+3928.1+1000</f>
        <v>12931.2</v>
      </c>
      <c r="F33" s="68">
        <v>13610.70413</v>
      </c>
      <c r="G33" s="73">
        <f t="shared" si="0"/>
        <v>105.25476467767878</v>
      </c>
    </row>
    <row r="34" spans="1:7" ht="30">
      <c r="A34" s="9">
        <f t="shared" si="1"/>
        <v>27</v>
      </c>
      <c r="B34" s="14" t="s">
        <v>49</v>
      </c>
      <c r="C34" s="14" t="s">
        <v>91</v>
      </c>
      <c r="D34" s="15" t="s">
        <v>18</v>
      </c>
      <c r="E34" s="63">
        <f>E35</f>
        <v>23.099999999999994</v>
      </c>
      <c r="F34" s="63">
        <f>F35</f>
        <v>41.273969999999998</v>
      </c>
      <c r="G34" s="73">
        <f t="shared" si="0"/>
        <v>178.67519480519485</v>
      </c>
    </row>
    <row r="35" spans="1:7" ht="30">
      <c r="A35" s="9">
        <f t="shared" si="1"/>
        <v>28</v>
      </c>
      <c r="B35" s="14" t="s">
        <v>9</v>
      </c>
      <c r="C35" s="14" t="s">
        <v>90</v>
      </c>
      <c r="D35" s="15" t="s">
        <v>18</v>
      </c>
      <c r="E35" s="63">
        <f>116.5-85.4-8</f>
        <v>23.099999999999994</v>
      </c>
      <c r="F35" s="68">
        <v>41.273969999999998</v>
      </c>
      <c r="G35" s="73">
        <f t="shared" si="0"/>
        <v>178.67519480519485</v>
      </c>
    </row>
    <row r="36" spans="1:7" ht="30">
      <c r="A36" s="9">
        <f t="shared" si="1"/>
        <v>29</v>
      </c>
      <c r="B36" s="14" t="s">
        <v>49</v>
      </c>
      <c r="C36" s="18" t="s">
        <v>456</v>
      </c>
      <c r="D36" s="19" t="s">
        <v>455</v>
      </c>
      <c r="E36" s="63">
        <f>E37</f>
        <v>3.3</v>
      </c>
      <c r="F36" s="63">
        <f>F37</f>
        <v>3.2623199999999999</v>
      </c>
      <c r="G36" s="73">
        <f t="shared" si="0"/>
        <v>98.858181818181819</v>
      </c>
    </row>
    <row r="37" spans="1:7" ht="30">
      <c r="A37" s="9">
        <f t="shared" si="1"/>
        <v>30</v>
      </c>
      <c r="B37" s="14" t="s">
        <v>9</v>
      </c>
      <c r="C37" s="18" t="s">
        <v>456</v>
      </c>
      <c r="D37" s="19" t="s">
        <v>455</v>
      </c>
      <c r="E37" s="63">
        <v>3.3</v>
      </c>
      <c r="F37" s="68">
        <v>3.2623199999999999</v>
      </c>
      <c r="G37" s="73">
        <f t="shared" si="0"/>
        <v>98.858181818181819</v>
      </c>
    </row>
    <row r="38" spans="1:7" ht="45">
      <c r="A38" s="9">
        <f t="shared" si="1"/>
        <v>31</v>
      </c>
      <c r="B38" s="14" t="s">
        <v>49</v>
      </c>
      <c r="C38" s="14" t="s">
        <v>92</v>
      </c>
      <c r="D38" s="15" t="s">
        <v>93</v>
      </c>
      <c r="E38" s="63">
        <f>E39</f>
        <v>8614.4</v>
      </c>
      <c r="F38" s="63">
        <f>F39</f>
        <v>10714.136119999999</v>
      </c>
      <c r="G38" s="73">
        <f t="shared" si="0"/>
        <v>124.37472278974739</v>
      </c>
    </row>
    <row r="39" spans="1:7" ht="60">
      <c r="A39" s="9">
        <f t="shared" si="1"/>
        <v>32</v>
      </c>
      <c r="B39" s="14" t="s">
        <v>9</v>
      </c>
      <c r="C39" s="14" t="s">
        <v>94</v>
      </c>
      <c r="D39" s="15" t="s">
        <v>19</v>
      </c>
      <c r="E39" s="63">
        <f>8931-316.6</f>
        <v>8614.4</v>
      </c>
      <c r="F39" s="68">
        <v>10714.136119999999</v>
      </c>
      <c r="G39" s="73">
        <f t="shared" si="0"/>
        <v>124.37472278974739</v>
      </c>
    </row>
    <row r="40" spans="1:7" ht="31.5">
      <c r="A40" s="9">
        <f t="shared" si="1"/>
        <v>33</v>
      </c>
      <c r="B40" s="14" t="s">
        <v>49</v>
      </c>
      <c r="C40" s="12" t="s">
        <v>95</v>
      </c>
      <c r="D40" s="13" t="s">
        <v>20</v>
      </c>
      <c r="E40" s="62">
        <f>E41+E43</f>
        <v>41870.400000000001</v>
      </c>
      <c r="F40" s="62">
        <f>F41+F43</f>
        <v>46731.020340000003</v>
      </c>
      <c r="G40" s="74">
        <f t="shared" si="0"/>
        <v>111.60872678550957</v>
      </c>
    </row>
    <row r="41" spans="1:7" ht="30">
      <c r="A41" s="9">
        <f t="shared" si="1"/>
        <v>34</v>
      </c>
      <c r="B41" s="14" t="s">
        <v>49</v>
      </c>
      <c r="C41" s="14" t="s">
        <v>98</v>
      </c>
      <c r="D41" s="15" t="s">
        <v>97</v>
      </c>
      <c r="E41" s="63">
        <f>E42</f>
        <v>10056</v>
      </c>
      <c r="F41" s="63">
        <f>F42</f>
        <v>10966.14244</v>
      </c>
      <c r="G41" s="73">
        <f t="shared" si="0"/>
        <v>109.05074025457438</v>
      </c>
    </row>
    <row r="42" spans="1:7" ht="75">
      <c r="A42" s="9">
        <f t="shared" si="1"/>
        <v>35</v>
      </c>
      <c r="B42" s="14" t="s">
        <v>9</v>
      </c>
      <c r="C42" s="14" t="s">
        <v>96</v>
      </c>
      <c r="D42" s="15" t="s">
        <v>21</v>
      </c>
      <c r="E42" s="63">
        <f>8756+1300</f>
        <v>10056</v>
      </c>
      <c r="F42" s="68">
        <v>10966.14244</v>
      </c>
      <c r="G42" s="73">
        <f t="shared" si="0"/>
        <v>109.05074025457438</v>
      </c>
    </row>
    <row r="43" spans="1:7" ht="30">
      <c r="A43" s="9">
        <f t="shared" si="1"/>
        <v>36</v>
      </c>
      <c r="B43" s="14" t="s">
        <v>49</v>
      </c>
      <c r="C43" s="14" t="s">
        <v>100</v>
      </c>
      <c r="D43" s="15" t="s">
        <v>99</v>
      </c>
      <c r="E43" s="63">
        <f>E44+E46</f>
        <v>31814.400000000001</v>
      </c>
      <c r="F43" s="63">
        <f>F44+F46</f>
        <v>35764.877899999999</v>
      </c>
      <c r="G43" s="73">
        <f t="shared" si="0"/>
        <v>112.41726356618386</v>
      </c>
    </row>
    <row r="44" spans="1:7" ht="30">
      <c r="A44" s="9">
        <f t="shared" si="1"/>
        <v>37</v>
      </c>
      <c r="B44" s="14" t="s">
        <v>49</v>
      </c>
      <c r="C44" s="14" t="s">
        <v>102</v>
      </c>
      <c r="D44" s="15" t="s">
        <v>103</v>
      </c>
      <c r="E44" s="63">
        <f>E45</f>
        <v>22710.9</v>
      </c>
      <c r="F44" s="63">
        <f>F45</f>
        <v>26143.34633</v>
      </c>
      <c r="G44" s="73">
        <f t="shared" si="0"/>
        <v>115.11365172670392</v>
      </c>
    </row>
    <row r="45" spans="1:7" ht="60">
      <c r="A45" s="9">
        <f t="shared" si="1"/>
        <v>38</v>
      </c>
      <c r="B45" s="14" t="s">
        <v>9</v>
      </c>
      <c r="C45" s="14" t="s">
        <v>101</v>
      </c>
      <c r="D45" s="15" t="s">
        <v>22</v>
      </c>
      <c r="E45" s="63">
        <f>25357.9-2147-500</f>
        <v>22710.9</v>
      </c>
      <c r="F45" s="68">
        <v>26143.34633</v>
      </c>
      <c r="G45" s="73">
        <f t="shared" si="0"/>
        <v>115.11365172670392</v>
      </c>
    </row>
    <row r="46" spans="1:7" ht="30">
      <c r="A46" s="9">
        <f t="shared" si="1"/>
        <v>39</v>
      </c>
      <c r="B46" s="14" t="s">
        <v>49</v>
      </c>
      <c r="C46" s="14" t="s">
        <v>104</v>
      </c>
      <c r="D46" s="15" t="s">
        <v>105</v>
      </c>
      <c r="E46" s="63">
        <f>E47</f>
        <v>9103.5</v>
      </c>
      <c r="F46" s="63">
        <f>F47</f>
        <v>9621.5315699999992</v>
      </c>
      <c r="G46" s="73">
        <f t="shared" si="0"/>
        <v>105.69046597462513</v>
      </c>
    </row>
    <row r="47" spans="1:7" ht="60">
      <c r="A47" s="9">
        <f t="shared" si="1"/>
        <v>40</v>
      </c>
      <c r="B47" s="14" t="s">
        <v>9</v>
      </c>
      <c r="C47" s="14" t="s">
        <v>106</v>
      </c>
      <c r="D47" s="15" t="s">
        <v>23</v>
      </c>
      <c r="E47" s="63">
        <f>11903.5-1500-1300</f>
        <v>9103.5</v>
      </c>
      <c r="F47" s="68">
        <v>9621.5315699999992</v>
      </c>
      <c r="G47" s="73">
        <f t="shared" si="0"/>
        <v>105.69046597462513</v>
      </c>
    </row>
    <row r="48" spans="1:7" ht="31.5">
      <c r="A48" s="9">
        <f t="shared" si="1"/>
        <v>41</v>
      </c>
      <c r="B48" s="14" t="s">
        <v>49</v>
      </c>
      <c r="C48" s="12" t="s">
        <v>107</v>
      </c>
      <c r="D48" s="13" t="s">
        <v>24</v>
      </c>
      <c r="E48" s="62">
        <f>E49+E51</f>
        <v>7676.4439999999995</v>
      </c>
      <c r="F48" s="62">
        <f>F49+F51</f>
        <v>7789.7988999999998</v>
      </c>
      <c r="G48" s="74">
        <f t="shared" si="0"/>
        <v>101.47665898429013</v>
      </c>
    </row>
    <row r="49" spans="1:7" ht="60">
      <c r="A49" s="9">
        <f t="shared" si="1"/>
        <v>42</v>
      </c>
      <c r="B49" s="14" t="s">
        <v>49</v>
      </c>
      <c r="C49" s="14" t="s">
        <v>110</v>
      </c>
      <c r="D49" s="15" t="s">
        <v>109</v>
      </c>
      <c r="E49" s="63">
        <f>E50</f>
        <v>7641.4439999999995</v>
      </c>
      <c r="F49" s="63">
        <f>F50</f>
        <v>7754.7988999999998</v>
      </c>
      <c r="G49" s="73">
        <f t="shared" si="0"/>
        <v>101.48342250496111</v>
      </c>
    </row>
    <row r="50" spans="1:7" ht="90">
      <c r="A50" s="9">
        <f t="shared" si="1"/>
        <v>43</v>
      </c>
      <c r="B50" s="14" t="s">
        <v>9</v>
      </c>
      <c r="C50" s="14" t="s">
        <v>108</v>
      </c>
      <c r="D50" s="15" t="s">
        <v>25</v>
      </c>
      <c r="E50" s="63">
        <f>7072-25+638.944-44.5</f>
        <v>7641.4439999999995</v>
      </c>
      <c r="F50" s="68">
        <v>7754.7988999999998</v>
      </c>
      <c r="G50" s="73">
        <f t="shared" si="0"/>
        <v>101.48342250496111</v>
      </c>
    </row>
    <row r="51" spans="1:7" ht="60">
      <c r="A51" s="9">
        <f t="shared" si="1"/>
        <v>44</v>
      </c>
      <c r="B51" s="14" t="s">
        <v>49</v>
      </c>
      <c r="C51" s="14" t="s">
        <v>111</v>
      </c>
      <c r="D51" s="15" t="s">
        <v>112</v>
      </c>
      <c r="E51" s="63">
        <f>E52</f>
        <v>35</v>
      </c>
      <c r="F51" s="63">
        <f>F52</f>
        <v>35</v>
      </c>
      <c r="G51" s="73">
        <f t="shared" si="0"/>
        <v>100</v>
      </c>
    </row>
    <row r="52" spans="1:7" ht="60">
      <c r="A52" s="9">
        <f t="shared" si="1"/>
        <v>45</v>
      </c>
      <c r="B52" s="14" t="s">
        <v>28</v>
      </c>
      <c r="C52" s="14" t="s">
        <v>279</v>
      </c>
      <c r="D52" s="15" t="s">
        <v>280</v>
      </c>
      <c r="E52" s="63">
        <f>5+25+5</f>
        <v>35</v>
      </c>
      <c r="F52" s="68">
        <v>35</v>
      </c>
      <c r="G52" s="73">
        <f t="shared" si="0"/>
        <v>100</v>
      </c>
    </row>
    <row r="53" spans="1:7" ht="78.75">
      <c r="A53" s="9">
        <f t="shared" si="1"/>
        <v>46</v>
      </c>
      <c r="B53" s="14" t="s">
        <v>49</v>
      </c>
      <c r="C53" s="12" t="s">
        <v>113</v>
      </c>
      <c r="D53" s="13" t="s">
        <v>26</v>
      </c>
      <c r="E53" s="62">
        <f t="shared" ref="E53:F55" si="2">E54</f>
        <v>0.19999999999999998</v>
      </c>
      <c r="F53" s="62">
        <f t="shared" si="2"/>
        <v>0.2</v>
      </c>
      <c r="G53" s="74">
        <f t="shared" si="0"/>
        <v>100.00000000000003</v>
      </c>
    </row>
    <row r="54" spans="1:7" ht="45">
      <c r="A54" s="9">
        <f t="shared" si="1"/>
        <v>47</v>
      </c>
      <c r="B54" s="14" t="s">
        <v>49</v>
      </c>
      <c r="C54" s="14" t="s">
        <v>115</v>
      </c>
      <c r="D54" s="15" t="s">
        <v>114</v>
      </c>
      <c r="E54" s="63">
        <f t="shared" si="2"/>
        <v>0.19999999999999998</v>
      </c>
      <c r="F54" s="63">
        <f t="shared" si="2"/>
        <v>0.2</v>
      </c>
      <c r="G54" s="73">
        <f t="shared" si="0"/>
        <v>100.00000000000003</v>
      </c>
    </row>
    <row r="55" spans="1:7" ht="90">
      <c r="A55" s="9">
        <f t="shared" si="1"/>
        <v>48</v>
      </c>
      <c r="B55" s="14" t="s">
        <v>49</v>
      </c>
      <c r="C55" s="20" t="s">
        <v>443</v>
      </c>
      <c r="D55" s="19" t="s">
        <v>441</v>
      </c>
      <c r="E55" s="63">
        <f t="shared" si="2"/>
        <v>0.19999999999999998</v>
      </c>
      <c r="F55" s="63">
        <f t="shared" si="2"/>
        <v>0.2</v>
      </c>
      <c r="G55" s="73">
        <f t="shared" si="0"/>
        <v>100.00000000000003</v>
      </c>
    </row>
    <row r="56" spans="1:7" ht="105">
      <c r="A56" s="9">
        <f t="shared" si="1"/>
        <v>49</v>
      </c>
      <c r="B56" s="14" t="s">
        <v>9</v>
      </c>
      <c r="C56" s="20" t="s">
        <v>444</v>
      </c>
      <c r="D56" s="19" t="s">
        <v>442</v>
      </c>
      <c r="E56" s="63">
        <f>0.3-0.1</f>
        <v>0.19999999999999998</v>
      </c>
      <c r="F56" s="68">
        <v>0.2</v>
      </c>
      <c r="G56" s="73">
        <f t="shared" si="0"/>
        <v>100.00000000000003</v>
      </c>
    </row>
    <row r="57" spans="1:7" ht="78.75">
      <c r="A57" s="9">
        <f t="shared" si="1"/>
        <v>50</v>
      </c>
      <c r="B57" s="12" t="s">
        <v>49</v>
      </c>
      <c r="C57" s="12" t="s">
        <v>116</v>
      </c>
      <c r="D57" s="13" t="s">
        <v>29</v>
      </c>
      <c r="E57" s="62">
        <f>E58+E62+E64</f>
        <v>74426.687000000005</v>
      </c>
      <c r="F57" s="62">
        <f>F58+F62+F64</f>
        <v>76338.191619999998</v>
      </c>
      <c r="G57" s="74">
        <f t="shared" si="0"/>
        <v>102.56830539830423</v>
      </c>
    </row>
    <row r="58" spans="1:7" ht="165">
      <c r="A58" s="9">
        <f t="shared" si="1"/>
        <v>51</v>
      </c>
      <c r="B58" s="14" t="s">
        <v>49</v>
      </c>
      <c r="C58" s="14" t="s">
        <v>119</v>
      </c>
      <c r="D58" s="17" t="s">
        <v>118</v>
      </c>
      <c r="E58" s="63">
        <f>E59+E60+E61</f>
        <v>68554.040000000008</v>
      </c>
      <c r="F58" s="63">
        <f>F59+F60+F61</f>
        <v>70268.873619999998</v>
      </c>
      <c r="G58" s="73">
        <f t="shared" si="0"/>
        <v>102.5014333509739</v>
      </c>
    </row>
    <row r="59" spans="1:7" ht="150">
      <c r="A59" s="9">
        <f t="shared" si="1"/>
        <v>52</v>
      </c>
      <c r="B59" s="14" t="s">
        <v>28</v>
      </c>
      <c r="C59" s="14" t="s">
        <v>117</v>
      </c>
      <c r="D59" s="16" t="s">
        <v>120</v>
      </c>
      <c r="E59" s="63">
        <f>1909.33-1909.33+100</f>
        <v>100</v>
      </c>
      <c r="F59" s="68">
        <v>600.35617000000002</v>
      </c>
      <c r="G59" s="73">
        <f t="shared" si="0"/>
        <v>600.35617000000002</v>
      </c>
    </row>
    <row r="60" spans="1:7" ht="135">
      <c r="A60" s="9">
        <f t="shared" si="1"/>
        <v>53</v>
      </c>
      <c r="B60" s="14" t="s">
        <v>28</v>
      </c>
      <c r="C60" s="14" t="s">
        <v>121</v>
      </c>
      <c r="D60" s="15" t="s">
        <v>30</v>
      </c>
      <c r="E60" s="63">
        <f>60185.54+5914.5+1400</f>
        <v>67500.040000000008</v>
      </c>
      <c r="F60" s="68">
        <v>68672.123590000003</v>
      </c>
      <c r="G60" s="73">
        <f t="shared" si="0"/>
        <v>101.73641910434424</v>
      </c>
    </row>
    <row r="61" spans="1:7" ht="60">
      <c r="A61" s="9">
        <f t="shared" si="1"/>
        <v>54</v>
      </c>
      <c r="B61" s="14" t="s">
        <v>28</v>
      </c>
      <c r="C61" s="14" t="s">
        <v>122</v>
      </c>
      <c r="D61" s="15" t="s">
        <v>31</v>
      </c>
      <c r="E61" s="63">
        <f>964-10</f>
        <v>954</v>
      </c>
      <c r="F61" s="68">
        <v>996.39386000000002</v>
      </c>
      <c r="G61" s="73">
        <f t="shared" si="0"/>
        <v>104.44380083857443</v>
      </c>
    </row>
    <row r="62" spans="1:7" ht="45">
      <c r="A62" s="9">
        <f t="shared" si="1"/>
        <v>55</v>
      </c>
      <c r="B62" s="14" t="s">
        <v>49</v>
      </c>
      <c r="C62" s="14" t="s">
        <v>125</v>
      </c>
      <c r="D62" s="15" t="s">
        <v>124</v>
      </c>
      <c r="E62" s="63">
        <f>E63</f>
        <v>554.34699999999998</v>
      </c>
      <c r="F62" s="63">
        <v>554.34699999999998</v>
      </c>
      <c r="G62" s="73">
        <f t="shared" si="0"/>
        <v>100</v>
      </c>
    </row>
    <row r="63" spans="1:7" ht="105">
      <c r="A63" s="9">
        <f t="shared" si="1"/>
        <v>56</v>
      </c>
      <c r="B63" s="14" t="s">
        <v>28</v>
      </c>
      <c r="C63" s="14" t="s">
        <v>123</v>
      </c>
      <c r="D63" s="15" t="s">
        <v>32</v>
      </c>
      <c r="E63" s="63">
        <f>450+104.347</f>
        <v>554.34699999999998</v>
      </c>
      <c r="F63" s="63">
        <v>554.34699999999998</v>
      </c>
      <c r="G63" s="73">
        <f t="shared" si="0"/>
        <v>100</v>
      </c>
    </row>
    <row r="64" spans="1:7" ht="150">
      <c r="A64" s="9">
        <f t="shared" si="1"/>
        <v>57</v>
      </c>
      <c r="B64" s="14" t="s">
        <v>49</v>
      </c>
      <c r="C64" s="14" t="s">
        <v>128</v>
      </c>
      <c r="D64" s="17" t="s">
        <v>127</v>
      </c>
      <c r="E64" s="63">
        <f>E65+E68</f>
        <v>5318.3</v>
      </c>
      <c r="F64" s="63">
        <f>F65+F68</f>
        <v>5514.9709999999995</v>
      </c>
      <c r="G64" s="73">
        <f t="shared" si="0"/>
        <v>103.69800500159825</v>
      </c>
    </row>
    <row r="65" spans="1:7" ht="150">
      <c r="A65" s="9">
        <f t="shared" si="1"/>
        <v>58</v>
      </c>
      <c r="B65" s="14" t="s">
        <v>49</v>
      </c>
      <c r="C65" s="14" t="s">
        <v>135</v>
      </c>
      <c r="D65" s="15" t="s">
        <v>33</v>
      </c>
      <c r="E65" s="63">
        <f>E66+E67</f>
        <v>1232.1000000000001</v>
      </c>
      <c r="F65" s="63">
        <f>F66+F67</f>
        <v>1314.16022</v>
      </c>
      <c r="G65" s="73">
        <f t="shared" si="0"/>
        <v>106.66019154289424</v>
      </c>
    </row>
    <row r="66" spans="1:7" ht="150">
      <c r="A66" s="9">
        <f t="shared" si="1"/>
        <v>59</v>
      </c>
      <c r="B66" s="14" t="s">
        <v>28</v>
      </c>
      <c r="C66" s="14" t="s">
        <v>126</v>
      </c>
      <c r="D66" s="15" t="s">
        <v>33</v>
      </c>
      <c r="E66" s="63">
        <f>261.2+30</f>
        <v>291.2</v>
      </c>
      <c r="F66" s="68">
        <v>311.27434</v>
      </c>
      <c r="G66" s="73">
        <f t="shared" si="0"/>
        <v>106.89366071428572</v>
      </c>
    </row>
    <row r="67" spans="1:7" ht="150">
      <c r="A67" s="9">
        <f t="shared" si="1"/>
        <v>60</v>
      </c>
      <c r="B67" s="14" t="s">
        <v>358</v>
      </c>
      <c r="C67" s="14" t="s">
        <v>126</v>
      </c>
      <c r="D67" s="15" t="s">
        <v>33</v>
      </c>
      <c r="E67" s="63">
        <f>732-2.62583+211.52583</f>
        <v>940.90000000000009</v>
      </c>
      <c r="F67" s="68">
        <v>1002.88588</v>
      </c>
      <c r="G67" s="73">
        <f t="shared" si="0"/>
        <v>106.58793495589329</v>
      </c>
    </row>
    <row r="68" spans="1:7" ht="195">
      <c r="A68" s="9">
        <f t="shared" si="1"/>
        <v>61</v>
      </c>
      <c r="B68" s="14" t="s">
        <v>49</v>
      </c>
      <c r="C68" s="14" t="s">
        <v>131</v>
      </c>
      <c r="D68" s="17" t="s">
        <v>130</v>
      </c>
      <c r="E68" s="63">
        <f>E69+E70</f>
        <v>4086.2</v>
      </c>
      <c r="F68" s="63">
        <f>F69+F70</f>
        <v>4200.8107799999998</v>
      </c>
      <c r="G68" s="73">
        <f t="shared" si="0"/>
        <v>102.80482551025403</v>
      </c>
    </row>
    <row r="69" spans="1:7" ht="180">
      <c r="A69" s="9">
        <f t="shared" si="1"/>
        <v>62</v>
      </c>
      <c r="B69" s="14" t="s">
        <v>28</v>
      </c>
      <c r="C69" s="14" t="s">
        <v>129</v>
      </c>
      <c r="D69" s="16" t="s">
        <v>132</v>
      </c>
      <c r="E69" s="63">
        <f>938.1-120</f>
        <v>818.1</v>
      </c>
      <c r="F69" s="68">
        <v>889.33693000000005</v>
      </c>
      <c r="G69" s="73">
        <f t="shared" si="0"/>
        <v>108.70760664955385</v>
      </c>
    </row>
    <row r="70" spans="1:7" ht="210">
      <c r="A70" s="9">
        <f t="shared" si="1"/>
        <v>63</v>
      </c>
      <c r="B70" s="14" t="s">
        <v>28</v>
      </c>
      <c r="C70" s="14" t="s">
        <v>133</v>
      </c>
      <c r="D70" s="16" t="s">
        <v>134</v>
      </c>
      <c r="E70" s="63">
        <f>350+1683+1235.1</f>
        <v>3268.1</v>
      </c>
      <c r="F70" s="68">
        <v>3311.4738499999999</v>
      </c>
      <c r="G70" s="73">
        <f t="shared" si="0"/>
        <v>101.32718858052078</v>
      </c>
    </row>
    <row r="71" spans="1:7" ht="31.5">
      <c r="A71" s="9">
        <f t="shared" si="1"/>
        <v>64</v>
      </c>
      <c r="B71" s="12" t="s">
        <v>49</v>
      </c>
      <c r="C71" s="12" t="s">
        <v>136</v>
      </c>
      <c r="D71" s="13" t="s">
        <v>5</v>
      </c>
      <c r="E71" s="62">
        <f>E72</f>
        <v>82.100000000000009</v>
      </c>
      <c r="F71" s="62">
        <f>F72</f>
        <v>81.848970000000008</v>
      </c>
      <c r="G71" s="74">
        <f t="shared" si="0"/>
        <v>99.694238733252121</v>
      </c>
    </row>
    <row r="72" spans="1:7" ht="30">
      <c r="A72" s="9">
        <f t="shared" si="1"/>
        <v>65</v>
      </c>
      <c r="B72" s="14" t="s">
        <v>49</v>
      </c>
      <c r="C72" s="14" t="s">
        <v>140</v>
      </c>
      <c r="D72" s="15" t="s">
        <v>138</v>
      </c>
      <c r="E72" s="63">
        <f>E73+E74+E75</f>
        <v>82.100000000000009</v>
      </c>
      <c r="F72" s="63">
        <f>F73+F74+F75</f>
        <v>81.848970000000008</v>
      </c>
      <c r="G72" s="73">
        <f t="shared" si="0"/>
        <v>99.694238733252121</v>
      </c>
    </row>
    <row r="73" spans="1:7" ht="45">
      <c r="A73" s="9">
        <f t="shared" si="1"/>
        <v>66</v>
      </c>
      <c r="B73" s="14" t="s">
        <v>4</v>
      </c>
      <c r="C73" s="14" t="s">
        <v>137</v>
      </c>
      <c r="D73" s="15" t="s">
        <v>139</v>
      </c>
      <c r="E73" s="63">
        <v>30.1</v>
      </c>
      <c r="F73" s="68">
        <v>29.766660000000002</v>
      </c>
      <c r="G73" s="73">
        <f t="shared" ref="G73:G136" si="3">F73/E73*100</f>
        <v>98.892558139534884</v>
      </c>
    </row>
    <row r="74" spans="1:7" ht="30">
      <c r="A74" s="9">
        <f t="shared" ref="A74:A137" si="4">A73+1</f>
        <v>67</v>
      </c>
      <c r="B74" s="14" t="s">
        <v>4</v>
      </c>
      <c r="C74" s="14" t="s">
        <v>141</v>
      </c>
      <c r="D74" s="15" t="s">
        <v>6</v>
      </c>
      <c r="E74" s="63">
        <v>51.6</v>
      </c>
      <c r="F74" s="68">
        <v>51.770800000000001</v>
      </c>
      <c r="G74" s="73">
        <f t="shared" si="3"/>
        <v>100.33100775193799</v>
      </c>
    </row>
    <row r="75" spans="1:7" ht="30">
      <c r="A75" s="9">
        <f t="shared" si="4"/>
        <v>68</v>
      </c>
      <c r="B75" s="14" t="s">
        <v>49</v>
      </c>
      <c r="C75" s="14" t="s">
        <v>321</v>
      </c>
      <c r="D75" s="15" t="s">
        <v>142</v>
      </c>
      <c r="E75" s="63">
        <f>E76</f>
        <v>0.4</v>
      </c>
      <c r="F75" s="63">
        <f>F76</f>
        <v>0.31151000000000001</v>
      </c>
      <c r="G75" s="73">
        <f t="shared" si="3"/>
        <v>77.877499999999998</v>
      </c>
    </row>
    <row r="76" spans="1:7" ht="30">
      <c r="A76" s="9">
        <f t="shared" si="4"/>
        <v>69</v>
      </c>
      <c r="B76" s="14" t="s">
        <v>4</v>
      </c>
      <c r="C76" s="14" t="s">
        <v>410</v>
      </c>
      <c r="D76" s="15" t="s">
        <v>411</v>
      </c>
      <c r="E76" s="63">
        <v>0.4</v>
      </c>
      <c r="F76" s="68">
        <v>0.31151000000000001</v>
      </c>
      <c r="G76" s="73">
        <f t="shared" si="3"/>
        <v>77.877499999999998</v>
      </c>
    </row>
    <row r="77" spans="1:7" ht="63">
      <c r="A77" s="9">
        <f t="shared" si="4"/>
        <v>70</v>
      </c>
      <c r="B77" s="12" t="s">
        <v>49</v>
      </c>
      <c r="C77" s="12" t="s">
        <v>143</v>
      </c>
      <c r="D77" s="13" t="s">
        <v>34</v>
      </c>
      <c r="E77" s="62">
        <f>E78+E81</f>
        <v>9694.2060000000001</v>
      </c>
      <c r="F77" s="62">
        <f>F78+F81</f>
        <v>10600.623530000001</v>
      </c>
      <c r="G77" s="74">
        <f t="shared" si="3"/>
        <v>109.35009561381304</v>
      </c>
    </row>
    <row r="78" spans="1:7" ht="30">
      <c r="A78" s="9">
        <f t="shared" si="4"/>
        <v>71</v>
      </c>
      <c r="B78" s="14" t="s">
        <v>49</v>
      </c>
      <c r="C78" s="14" t="s">
        <v>146</v>
      </c>
      <c r="D78" s="15" t="s">
        <v>145</v>
      </c>
      <c r="E78" s="63">
        <f>E79</f>
        <v>503.2</v>
      </c>
      <c r="F78" s="63">
        <f>F79</f>
        <v>493.37799999999999</v>
      </c>
      <c r="G78" s="73">
        <f t="shared" si="3"/>
        <v>98.048092209856918</v>
      </c>
    </row>
    <row r="79" spans="1:7" ht="30">
      <c r="A79" s="9">
        <f t="shared" si="4"/>
        <v>72</v>
      </c>
      <c r="B79" s="14" t="s">
        <v>49</v>
      </c>
      <c r="C79" s="14" t="s">
        <v>148</v>
      </c>
      <c r="D79" s="15" t="s">
        <v>147</v>
      </c>
      <c r="E79" s="63">
        <f>E80</f>
        <v>503.2</v>
      </c>
      <c r="F79" s="63">
        <f>F80</f>
        <v>493.37799999999999</v>
      </c>
      <c r="G79" s="73">
        <f t="shared" si="3"/>
        <v>98.048092209856918</v>
      </c>
    </row>
    <row r="80" spans="1:7" ht="60">
      <c r="A80" s="9">
        <f t="shared" si="4"/>
        <v>73</v>
      </c>
      <c r="B80" s="14" t="s">
        <v>44</v>
      </c>
      <c r="C80" s="14" t="s">
        <v>144</v>
      </c>
      <c r="D80" s="15" t="s">
        <v>45</v>
      </c>
      <c r="E80" s="63">
        <f>261+206+36.2</f>
        <v>503.2</v>
      </c>
      <c r="F80" s="68">
        <v>493.37799999999999</v>
      </c>
      <c r="G80" s="73">
        <f t="shared" si="3"/>
        <v>98.048092209856918</v>
      </c>
    </row>
    <row r="81" spans="1:7" ht="30">
      <c r="A81" s="9">
        <f t="shared" si="4"/>
        <v>74</v>
      </c>
      <c r="B81" s="14" t="s">
        <v>49</v>
      </c>
      <c r="C81" s="14" t="s">
        <v>150</v>
      </c>
      <c r="D81" s="15" t="s">
        <v>149</v>
      </c>
      <c r="E81" s="63">
        <f>E82+E86</f>
        <v>9191.0059999999994</v>
      </c>
      <c r="F81" s="63">
        <f>F82+F86</f>
        <v>10107.24553</v>
      </c>
      <c r="G81" s="73">
        <f t="shared" si="3"/>
        <v>109.96887098104386</v>
      </c>
    </row>
    <row r="82" spans="1:7" ht="45">
      <c r="A82" s="9">
        <f t="shared" si="4"/>
        <v>75</v>
      </c>
      <c r="B82" s="14" t="s">
        <v>49</v>
      </c>
      <c r="C82" s="14" t="s">
        <v>362</v>
      </c>
      <c r="D82" s="15" t="s">
        <v>361</v>
      </c>
      <c r="E82" s="63">
        <f>E83</f>
        <v>3389.42</v>
      </c>
      <c r="F82" s="63">
        <f>F83</f>
        <v>4305.6452099999997</v>
      </c>
      <c r="G82" s="73">
        <f t="shared" si="3"/>
        <v>127.03191726018019</v>
      </c>
    </row>
    <row r="83" spans="1:7" ht="60">
      <c r="A83" s="9">
        <f t="shared" si="4"/>
        <v>76</v>
      </c>
      <c r="B83" s="14" t="s">
        <v>49</v>
      </c>
      <c r="C83" s="14" t="s">
        <v>364</v>
      </c>
      <c r="D83" s="15" t="s">
        <v>365</v>
      </c>
      <c r="E83" s="63">
        <f>E84+E85</f>
        <v>3389.42</v>
      </c>
      <c r="F83" s="63">
        <f>F84+F85</f>
        <v>4305.6452099999997</v>
      </c>
      <c r="G83" s="73">
        <f t="shared" si="3"/>
        <v>127.03191726018019</v>
      </c>
    </row>
    <row r="84" spans="1:7" ht="90">
      <c r="A84" s="9">
        <f t="shared" si="4"/>
        <v>77</v>
      </c>
      <c r="B84" s="14" t="s">
        <v>28</v>
      </c>
      <c r="C84" s="14" t="s">
        <v>333</v>
      </c>
      <c r="D84" s="17" t="s">
        <v>360</v>
      </c>
      <c r="E84" s="63">
        <f>3237.4+90</f>
        <v>3327.4</v>
      </c>
      <c r="F84" s="68">
        <v>4243.6281300000001</v>
      </c>
      <c r="G84" s="73">
        <f t="shared" si="3"/>
        <v>127.53585772675362</v>
      </c>
    </row>
    <row r="85" spans="1:7" ht="90">
      <c r="A85" s="9">
        <f t="shared" si="4"/>
        <v>78</v>
      </c>
      <c r="B85" s="14" t="s">
        <v>44</v>
      </c>
      <c r="C85" s="14" t="s">
        <v>333</v>
      </c>
      <c r="D85" s="17" t="s">
        <v>360</v>
      </c>
      <c r="E85" s="63">
        <v>62.02</v>
      </c>
      <c r="F85" s="68">
        <v>62.01708</v>
      </c>
      <c r="G85" s="73">
        <f t="shared" si="3"/>
        <v>99.995291841341498</v>
      </c>
    </row>
    <row r="86" spans="1:7" ht="30">
      <c r="A86" s="9">
        <f t="shared" si="4"/>
        <v>79</v>
      </c>
      <c r="B86" s="14" t="s">
        <v>49</v>
      </c>
      <c r="C86" s="14" t="s">
        <v>336</v>
      </c>
      <c r="D86" s="21" t="s">
        <v>363</v>
      </c>
      <c r="E86" s="63">
        <f>E87</f>
        <v>5801.5859999999993</v>
      </c>
      <c r="F86" s="63">
        <f>F87</f>
        <v>5801.6003199999996</v>
      </c>
      <c r="G86" s="73">
        <f t="shared" si="3"/>
        <v>100.00024682905675</v>
      </c>
    </row>
    <row r="87" spans="1:7" ht="31.15" customHeight="1">
      <c r="A87" s="9">
        <f t="shared" si="4"/>
        <v>80</v>
      </c>
      <c r="B87" s="14" t="s">
        <v>49</v>
      </c>
      <c r="C87" s="14" t="s">
        <v>338</v>
      </c>
      <c r="D87" s="22" t="s">
        <v>337</v>
      </c>
      <c r="E87" s="63">
        <f>SUM(E88:E91)</f>
        <v>5801.5859999999993</v>
      </c>
      <c r="F87" s="63">
        <f>SUM(F88:F91)</f>
        <v>5801.6003199999996</v>
      </c>
      <c r="G87" s="73">
        <f t="shared" si="3"/>
        <v>100.00024682905675</v>
      </c>
    </row>
    <row r="88" spans="1:7" ht="75">
      <c r="A88" s="9">
        <f t="shared" si="4"/>
        <v>81</v>
      </c>
      <c r="B88" s="14" t="s">
        <v>28</v>
      </c>
      <c r="C88" s="14" t="s">
        <v>387</v>
      </c>
      <c r="D88" s="23" t="s">
        <v>367</v>
      </c>
      <c r="E88" s="63">
        <f>127+115.86+202.17+87.5</f>
        <v>532.53</v>
      </c>
      <c r="F88" s="68">
        <v>532.53</v>
      </c>
      <c r="G88" s="73">
        <f t="shared" si="3"/>
        <v>100</v>
      </c>
    </row>
    <row r="89" spans="1:7" ht="90">
      <c r="A89" s="9">
        <f t="shared" si="4"/>
        <v>82</v>
      </c>
      <c r="B89" s="14" t="s">
        <v>28</v>
      </c>
      <c r="C89" s="24" t="s">
        <v>451</v>
      </c>
      <c r="D89" s="25" t="s">
        <v>452</v>
      </c>
      <c r="E89" s="63">
        <v>4.056</v>
      </c>
      <c r="F89" s="68">
        <v>4.0559399999999997</v>
      </c>
      <c r="G89" s="73">
        <f t="shared" si="3"/>
        <v>99.998520710059154</v>
      </c>
    </row>
    <row r="90" spans="1:7" ht="90">
      <c r="A90" s="9">
        <f t="shared" si="4"/>
        <v>83</v>
      </c>
      <c r="B90" s="14" t="s">
        <v>358</v>
      </c>
      <c r="C90" s="14" t="s">
        <v>388</v>
      </c>
      <c r="D90" s="6" t="s">
        <v>335</v>
      </c>
      <c r="E90" s="63">
        <v>2829.09636</v>
      </c>
      <c r="F90" s="68">
        <v>2829.09636</v>
      </c>
      <c r="G90" s="73">
        <f t="shared" si="3"/>
        <v>100</v>
      </c>
    </row>
    <row r="91" spans="1:7" ht="90">
      <c r="A91" s="9">
        <f t="shared" si="4"/>
        <v>84</v>
      </c>
      <c r="B91" s="14" t="s">
        <v>358</v>
      </c>
      <c r="C91" s="14" t="s">
        <v>389</v>
      </c>
      <c r="D91" s="6" t="s">
        <v>366</v>
      </c>
      <c r="E91" s="63">
        <f>3470.90364-1035</f>
        <v>2435.90364</v>
      </c>
      <c r="F91" s="68">
        <v>2435.9180200000001</v>
      </c>
      <c r="G91" s="73">
        <f t="shared" si="3"/>
        <v>100.00059033533854</v>
      </c>
    </row>
    <row r="92" spans="1:7" ht="47.25">
      <c r="A92" s="9">
        <f t="shared" si="4"/>
        <v>85</v>
      </c>
      <c r="B92" s="14" t="s">
        <v>49</v>
      </c>
      <c r="C92" s="12" t="s">
        <v>151</v>
      </c>
      <c r="D92" s="13" t="s">
        <v>35</v>
      </c>
      <c r="E92" s="62">
        <f>E93+E100</f>
        <v>11064.233</v>
      </c>
      <c r="F92" s="62">
        <f>F93+F100</f>
        <v>11478.321910000001</v>
      </c>
      <c r="G92" s="74">
        <f t="shared" si="3"/>
        <v>103.74259029071425</v>
      </c>
    </row>
    <row r="93" spans="1:7" ht="189">
      <c r="A93" s="9">
        <f t="shared" si="4"/>
        <v>86</v>
      </c>
      <c r="B93" s="14" t="s">
        <v>49</v>
      </c>
      <c r="C93" s="14" t="s">
        <v>385</v>
      </c>
      <c r="D93" s="26" t="s">
        <v>383</v>
      </c>
      <c r="E93" s="63">
        <f>E94</f>
        <v>7694.2330000000002</v>
      </c>
      <c r="F93" s="63">
        <f>F94</f>
        <v>7694.2330000000002</v>
      </c>
      <c r="G93" s="73">
        <f t="shared" si="3"/>
        <v>100</v>
      </c>
    </row>
    <row r="94" spans="1:7" ht="165">
      <c r="A94" s="9">
        <f t="shared" si="4"/>
        <v>87</v>
      </c>
      <c r="B94" s="14" t="s">
        <v>49</v>
      </c>
      <c r="C94" s="14" t="s">
        <v>386</v>
      </c>
      <c r="D94" s="27" t="s">
        <v>384</v>
      </c>
      <c r="E94" s="63">
        <f>E95+E97</f>
        <v>7694.2330000000002</v>
      </c>
      <c r="F94" s="63">
        <f>F95+F97</f>
        <v>7694.2330000000002</v>
      </c>
      <c r="G94" s="73">
        <f t="shared" si="3"/>
        <v>100</v>
      </c>
    </row>
    <row r="95" spans="1:7" ht="163.15" customHeight="1">
      <c r="A95" s="9">
        <f t="shared" si="4"/>
        <v>88</v>
      </c>
      <c r="B95" s="14" t="s">
        <v>49</v>
      </c>
      <c r="C95" s="14" t="s">
        <v>427</v>
      </c>
      <c r="D95" s="28" t="s">
        <v>425</v>
      </c>
      <c r="E95" s="63">
        <f>E96</f>
        <v>7667.201</v>
      </c>
      <c r="F95" s="63">
        <f>F96</f>
        <v>7667.201</v>
      </c>
      <c r="G95" s="73">
        <f t="shared" si="3"/>
        <v>100</v>
      </c>
    </row>
    <row r="96" spans="1:7" ht="165">
      <c r="A96" s="9">
        <f t="shared" si="4"/>
        <v>89</v>
      </c>
      <c r="B96" s="14" t="s">
        <v>28</v>
      </c>
      <c r="C96" s="14" t="s">
        <v>428</v>
      </c>
      <c r="D96" s="29" t="s">
        <v>426</v>
      </c>
      <c r="E96" s="63">
        <f>7458.551+208.65</f>
        <v>7667.201</v>
      </c>
      <c r="F96" s="68">
        <v>7667.201</v>
      </c>
      <c r="G96" s="73">
        <f t="shared" si="3"/>
        <v>100</v>
      </c>
    </row>
    <row r="97" spans="1:7" ht="165">
      <c r="A97" s="9">
        <f t="shared" si="4"/>
        <v>90</v>
      </c>
      <c r="B97" s="14" t="s">
        <v>49</v>
      </c>
      <c r="C97" s="14" t="s">
        <v>386</v>
      </c>
      <c r="D97" s="29" t="s">
        <v>384</v>
      </c>
      <c r="E97" s="63">
        <f>E98+E99</f>
        <v>27.032</v>
      </c>
      <c r="F97" s="63">
        <f>F98+F99</f>
        <v>27.032</v>
      </c>
      <c r="G97" s="73">
        <f t="shared" si="3"/>
        <v>100</v>
      </c>
    </row>
    <row r="98" spans="1:7" ht="150">
      <c r="A98" s="9">
        <f t="shared" si="4"/>
        <v>91</v>
      </c>
      <c r="B98" s="14" t="s">
        <v>358</v>
      </c>
      <c r="C98" s="14" t="s">
        <v>379</v>
      </c>
      <c r="D98" s="29" t="s">
        <v>378</v>
      </c>
      <c r="E98" s="63">
        <v>6.48</v>
      </c>
      <c r="F98" s="63">
        <v>6.48</v>
      </c>
      <c r="G98" s="73">
        <f t="shared" si="3"/>
        <v>100</v>
      </c>
    </row>
    <row r="99" spans="1:7" ht="150">
      <c r="A99" s="9">
        <f t="shared" si="4"/>
        <v>92</v>
      </c>
      <c r="B99" s="14" t="s">
        <v>44</v>
      </c>
      <c r="C99" s="14" t="s">
        <v>379</v>
      </c>
      <c r="D99" s="29" t="s">
        <v>378</v>
      </c>
      <c r="E99" s="63">
        <v>20.552</v>
      </c>
      <c r="F99" s="63">
        <v>20.552</v>
      </c>
      <c r="G99" s="73">
        <f t="shared" si="3"/>
        <v>100</v>
      </c>
    </row>
    <row r="100" spans="1:7" ht="63">
      <c r="A100" s="9">
        <f t="shared" si="4"/>
        <v>93</v>
      </c>
      <c r="B100" s="14" t="s">
        <v>49</v>
      </c>
      <c r="C100" s="14" t="s">
        <v>154</v>
      </c>
      <c r="D100" s="13" t="s">
        <v>153</v>
      </c>
      <c r="E100" s="63">
        <f>E101+E103</f>
        <v>3370</v>
      </c>
      <c r="F100" s="63">
        <f>F101+F103</f>
        <v>3784.0889100000004</v>
      </c>
      <c r="G100" s="73">
        <f t="shared" si="3"/>
        <v>112.28750474777449</v>
      </c>
    </row>
    <row r="101" spans="1:7" ht="90">
      <c r="A101" s="9">
        <f t="shared" si="4"/>
        <v>94</v>
      </c>
      <c r="B101" s="14" t="s">
        <v>49</v>
      </c>
      <c r="C101" s="14" t="s">
        <v>152</v>
      </c>
      <c r="D101" s="30" t="s">
        <v>36</v>
      </c>
      <c r="E101" s="63">
        <f>E102</f>
        <v>2000</v>
      </c>
      <c r="F101" s="63">
        <f>F102</f>
        <v>2110.2925500000001</v>
      </c>
      <c r="G101" s="73">
        <f t="shared" si="3"/>
        <v>105.5146275</v>
      </c>
    </row>
    <row r="102" spans="1:7" ht="90">
      <c r="A102" s="9">
        <f t="shared" si="4"/>
        <v>95</v>
      </c>
      <c r="B102" s="14" t="s">
        <v>28</v>
      </c>
      <c r="C102" s="14" t="s">
        <v>152</v>
      </c>
      <c r="D102" s="15" t="s">
        <v>36</v>
      </c>
      <c r="E102" s="63">
        <f>700+1500-200</f>
        <v>2000</v>
      </c>
      <c r="F102" s="68">
        <v>2110.2925500000001</v>
      </c>
      <c r="G102" s="73">
        <f t="shared" si="3"/>
        <v>105.5146275</v>
      </c>
    </row>
    <row r="103" spans="1:7" ht="105">
      <c r="A103" s="9">
        <f t="shared" si="4"/>
        <v>96</v>
      </c>
      <c r="B103" s="14" t="s">
        <v>49</v>
      </c>
      <c r="C103" s="14" t="s">
        <v>155</v>
      </c>
      <c r="D103" s="30" t="s">
        <v>37</v>
      </c>
      <c r="E103" s="63">
        <f>E104</f>
        <v>1370</v>
      </c>
      <c r="F103" s="63">
        <f>F104</f>
        <v>1673.79636</v>
      </c>
      <c r="G103" s="73">
        <f t="shared" si="3"/>
        <v>122.17491678832117</v>
      </c>
    </row>
    <row r="104" spans="1:7" ht="105">
      <c r="A104" s="9">
        <f t="shared" si="4"/>
        <v>97</v>
      </c>
      <c r="B104" s="14" t="s">
        <v>28</v>
      </c>
      <c r="C104" s="14" t="s">
        <v>155</v>
      </c>
      <c r="D104" s="15" t="s">
        <v>37</v>
      </c>
      <c r="E104" s="63">
        <f>1800-430</f>
        <v>1370</v>
      </c>
      <c r="F104" s="68">
        <v>1673.79636</v>
      </c>
      <c r="G104" s="73">
        <f t="shared" si="3"/>
        <v>122.17491678832117</v>
      </c>
    </row>
    <row r="105" spans="1:7" ht="31.5">
      <c r="A105" s="9">
        <f t="shared" si="4"/>
        <v>98</v>
      </c>
      <c r="B105" s="12" t="s">
        <v>49</v>
      </c>
      <c r="C105" s="12" t="s">
        <v>156</v>
      </c>
      <c r="D105" s="13" t="s">
        <v>38</v>
      </c>
      <c r="E105" s="62">
        <f>E106</f>
        <v>213.6</v>
      </c>
      <c r="F105" s="62">
        <f>F106</f>
        <v>218.4385</v>
      </c>
      <c r="G105" s="74">
        <f t="shared" si="3"/>
        <v>102.26521535580524</v>
      </c>
    </row>
    <row r="106" spans="1:7" ht="75">
      <c r="A106" s="9">
        <f t="shared" si="4"/>
        <v>99</v>
      </c>
      <c r="B106" s="14" t="s">
        <v>49</v>
      </c>
      <c r="C106" s="14" t="s">
        <v>159</v>
      </c>
      <c r="D106" s="15" t="s">
        <v>158</v>
      </c>
      <c r="E106" s="63">
        <f>SUM(E107:E108)</f>
        <v>213.6</v>
      </c>
      <c r="F106" s="63">
        <f>SUM(F107:F108)</f>
        <v>218.4385</v>
      </c>
      <c r="G106" s="73">
        <f t="shared" si="3"/>
        <v>102.26521535580524</v>
      </c>
    </row>
    <row r="107" spans="1:7" ht="75">
      <c r="A107" s="9">
        <f t="shared" si="4"/>
        <v>100</v>
      </c>
      <c r="B107" s="14" t="s">
        <v>28</v>
      </c>
      <c r="C107" s="14" t="s">
        <v>157</v>
      </c>
      <c r="D107" s="15" t="s">
        <v>39</v>
      </c>
      <c r="E107" s="63">
        <f>50+15+20+72</f>
        <v>157</v>
      </c>
      <c r="F107" s="68">
        <v>160</v>
      </c>
      <c r="G107" s="73">
        <f t="shared" si="3"/>
        <v>101.91082802547771</v>
      </c>
    </row>
    <row r="108" spans="1:7" ht="75">
      <c r="A108" s="9">
        <f t="shared" si="4"/>
        <v>101</v>
      </c>
      <c r="B108" s="14" t="s">
        <v>358</v>
      </c>
      <c r="C108" s="14" t="s">
        <v>157</v>
      </c>
      <c r="D108" s="15" t="s">
        <v>39</v>
      </c>
      <c r="E108" s="63">
        <f>117-60.4</f>
        <v>56.6</v>
      </c>
      <c r="F108" s="68">
        <v>58.438499999999998</v>
      </c>
      <c r="G108" s="73">
        <f t="shared" si="3"/>
        <v>103.2482332155477</v>
      </c>
    </row>
    <row r="109" spans="1:7" ht="31.5">
      <c r="A109" s="9">
        <f t="shared" si="4"/>
        <v>102</v>
      </c>
      <c r="B109" s="12" t="s">
        <v>49</v>
      </c>
      <c r="C109" s="12" t="s">
        <v>160</v>
      </c>
      <c r="D109" s="13" t="s">
        <v>3</v>
      </c>
      <c r="E109" s="62">
        <f>E110+E126+E132+E128</f>
        <v>1836.08321</v>
      </c>
      <c r="F109" s="62">
        <f>F110+F126+F132+F128</f>
        <v>1823.4652299999998</v>
      </c>
      <c r="G109" s="74">
        <f t="shared" si="3"/>
        <v>99.312777333223352</v>
      </c>
    </row>
    <row r="110" spans="1:7" ht="75">
      <c r="A110" s="9">
        <f t="shared" si="4"/>
        <v>103</v>
      </c>
      <c r="B110" s="14" t="s">
        <v>49</v>
      </c>
      <c r="C110" s="14" t="s">
        <v>163</v>
      </c>
      <c r="D110" s="15" t="s">
        <v>162</v>
      </c>
      <c r="E110" s="63">
        <f>SUM(E111:E125)</f>
        <v>725.69407000000001</v>
      </c>
      <c r="F110" s="63">
        <f>SUM(F111:F125)</f>
        <v>765.81402000000003</v>
      </c>
      <c r="G110" s="73">
        <f t="shared" si="3"/>
        <v>105.52849357030023</v>
      </c>
    </row>
    <row r="111" spans="1:7" ht="165">
      <c r="A111" s="9">
        <f t="shared" si="4"/>
        <v>104</v>
      </c>
      <c r="B111" s="14" t="s">
        <v>1</v>
      </c>
      <c r="C111" s="14" t="s">
        <v>161</v>
      </c>
      <c r="D111" s="16" t="s">
        <v>192</v>
      </c>
      <c r="E111" s="63">
        <f>2+2+2</f>
        <v>6</v>
      </c>
      <c r="F111" s="68">
        <v>5.7696199999999997</v>
      </c>
      <c r="G111" s="73">
        <f t="shared" si="3"/>
        <v>96.160333333333327</v>
      </c>
    </row>
    <row r="112" spans="1:7" ht="165">
      <c r="A112" s="9">
        <f t="shared" si="4"/>
        <v>105</v>
      </c>
      <c r="B112" s="14" t="s">
        <v>27</v>
      </c>
      <c r="C112" s="14" t="s">
        <v>161</v>
      </c>
      <c r="D112" s="16" t="s">
        <v>192</v>
      </c>
      <c r="E112" s="63">
        <f>20-6+6+3-1</f>
        <v>22</v>
      </c>
      <c r="F112" s="68">
        <v>23.616250000000001</v>
      </c>
      <c r="G112" s="73">
        <f t="shared" si="3"/>
        <v>107.34659090909091</v>
      </c>
    </row>
    <row r="113" spans="1:7" ht="210">
      <c r="A113" s="9">
        <f t="shared" si="4"/>
        <v>106</v>
      </c>
      <c r="B113" s="14" t="s">
        <v>1</v>
      </c>
      <c r="C113" s="14" t="s">
        <v>164</v>
      </c>
      <c r="D113" s="16" t="s">
        <v>193</v>
      </c>
      <c r="E113" s="63">
        <f>6-2</f>
        <v>4</v>
      </c>
      <c r="F113" s="68">
        <v>4.6648199999999997</v>
      </c>
      <c r="G113" s="73">
        <f t="shared" si="3"/>
        <v>116.62049999999999</v>
      </c>
    </row>
    <row r="114" spans="1:7" ht="210">
      <c r="A114" s="9">
        <f t="shared" si="4"/>
        <v>107</v>
      </c>
      <c r="B114" s="14" t="s">
        <v>27</v>
      </c>
      <c r="C114" s="14" t="s">
        <v>164</v>
      </c>
      <c r="D114" s="16" t="s">
        <v>193</v>
      </c>
      <c r="E114" s="63">
        <f>100+15+5+8</f>
        <v>128</v>
      </c>
      <c r="F114" s="68">
        <v>141.89829</v>
      </c>
      <c r="G114" s="73">
        <f t="shared" si="3"/>
        <v>110.8580390625</v>
      </c>
    </row>
    <row r="115" spans="1:7" ht="165">
      <c r="A115" s="9">
        <f t="shared" si="4"/>
        <v>108</v>
      </c>
      <c r="B115" s="14" t="s">
        <v>1</v>
      </c>
      <c r="C115" s="14" t="s">
        <v>165</v>
      </c>
      <c r="D115" s="16" t="s">
        <v>194</v>
      </c>
      <c r="E115" s="63">
        <f>2+0.5</f>
        <v>2.5</v>
      </c>
      <c r="F115" s="68">
        <v>2.5</v>
      </c>
      <c r="G115" s="73">
        <f t="shared" si="3"/>
        <v>100</v>
      </c>
    </row>
    <row r="116" spans="1:7" ht="165">
      <c r="A116" s="9">
        <f t="shared" si="4"/>
        <v>109</v>
      </c>
      <c r="B116" s="14" t="s">
        <v>27</v>
      </c>
      <c r="C116" s="14" t="s">
        <v>165</v>
      </c>
      <c r="D116" s="16" t="s">
        <v>194</v>
      </c>
      <c r="E116" s="63">
        <f>10+5</f>
        <v>15</v>
      </c>
      <c r="F116" s="68">
        <v>14.836169999999999</v>
      </c>
      <c r="G116" s="73">
        <f t="shared" si="3"/>
        <v>98.907799999999995</v>
      </c>
    </row>
    <row r="117" spans="1:7" ht="180">
      <c r="A117" s="9">
        <f t="shared" si="4"/>
        <v>110</v>
      </c>
      <c r="B117" s="14" t="s">
        <v>27</v>
      </c>
      <c r="C117" s="14" t="s">
        <v>166</v>
      </c>
      <c r="D117" s="16" t="s">
        <v>195</v>
      </c>
      <c r="E117" s="63">
        <f>8+5+1</f>
        <v>14</v>
      </c>
      <c r="F117" s="68">
        <v>14.085470000000001</v>
      </c>
      <c r="G117" s="73">
        <f t="shared" si="3"/>
        <v>100.6105</v>
      </c>
    </row>
    <row r="118" spans="1:7" ht="210">
      <c r="A118" s="9">
        <f t="shared" si="4"/>
        <v>111</v>
      </c>
      <c r="B118" s="14" t="s">
        <v>27</v>
      </c>
      <c r="C118" s="14" t="s">
        <v>167</v>
      </c>
      <c r="D118" s="16" t="s">
        <v>196</v>
      </c>
      <c r="E118" s="63">
        <f>25+50+4</f>
        <v>79</v>
      </c>
      <c r="F118" s="68">
        <v>88.118899999999996</v>
      </c>
      <c r="G118" s="73">
        <f t="shared" si="3"/>
        <v>111.54291139240506</v>
      </c>
    </row>
    <row r="119" spans="1:7" ht="240">
      <c r="A119" s="9">
        <f t="shared" si="4"/>
        <v>112</v>
      </c>
      <c r="B119" s="14" t="s">
        <v>27</v>
      </c>
      <c r="C119" s="14" t="s">
        <v>168</v>
      </c>
      <c r="D119" s="16" t="s">
        <v>197</v>
      </c>
      <c r="E119" s="63">
        <f>10+1+5+1+1</f>
        <v>18</v>
      </c>
      <c r="F119" s="68">
        <v>18.320650000000001</v>
      </c>
      <c r="G119" s="73">
        <f t="shared" si="3"/>
        <v>101.7813888888889</v>
      </c>
    </row>
    <row r="120" spans="1:7" ht="180">
      <c r="A120" s="9">
        <f t="shared" si="4"/>
        <v>113</v>
      </c>
      <c r="B120" s="14" t="s">
        <v>27</v>
      </c>
      <c r="C120" s="14" t="s">
        <v>169</v>
      </c>
      <c r="D120" s="16" t="s">
        <v>198</v>
      </c>
      <c r="E120" s="63">
        <v>5</v>
      </c>
      <c r="F120" s="68">
        <v>7.8611199999999997</v>
      </c>
      <c r="G120" s="73">
        <f t="shared" si="3"/>
        <v>157.22239999999999</v>
      </c>
    </row>
    <row r="121" spans="1:7" ht="165">
      <c r="A121" s="9">
        <f t="shared" si="4"/>
        <v>114</v>
      </c>
      <c r="B121" s="14" t="s">
        <v>27</v>
      </c>
      <c r="C121" s="14" t="s">
        <v>170</v>
      </c>
      <c r="D121" s="16" t="s">
        <v>199</v>
      </c>
      <c r="E121" s="63">
        <f>35+80+5+7+3</f>
        <v>130</v>
      </c>
      <c r="F121" s="68">
        <v>130.11166</v>
      </c>
      <c r="G121" s="73">
        <f t="shared" si="3"/>
        <v>100.08589230769232</v>
      </c>
    </row>
    <row r="122" spans="1:7" ht="150">
      <c r="A122" s="9">
        <f t="shared" si="4"/>
        <v>115</v>
      </c>
      <c r="B122" s="14" t="s">
        <v>28</v>
      </c>
      <c r="C122" s="14" t="s">
        <v>436</v>
      </c>
      <c r="D122" s="31" t="s">
        <v>437</v>
      </c>
      <c r="E122" s="63">
        <f>1.5+0.52+1</f>
        <v>3.02</v>
      </c>
      <c r="F122" s="68">
        <v>2.6159500000000002</v>
      </c>
      <c r="G122" s="73">
        <f t="shared" si="3"/>
        <v>86.620860927152322</v>
      </c>
    </row>
    <row r="123" spans="1:7" ht="195">
      <c r="A123" s="9">
        <f t="shared" si="4"/>
        <v>116</v>
      </c>
      <c r="B123" s="14" t="s">
        <v>1</v>
      </c>
      <c r="C123" s="14" t="s">
        <v>171</v>
      </c>
      <c r="D123" s="16" t="s">
        <v>200</v>
      </c>
      <c r="E123" s="63">
        <f>2+5+5</f>
        <v>12</v>
      </c>
      <c r="F123" s="68">
        <v>13.91333</v>
      </c>
      <c r="G123" s="73">
        <f t="shared" si="3"/>
        <v>115.94441666666665</v>
      </c>
    </row>
    <row r="124" spans="1:7" ht="195">
      <c r="A124" s="9">
        <f t="shared" si="4"/>
        <v>117</v>
      </c>
      <c r="B124" s="14" t="s">
        <v>435</v>
      </c>
      <c r="C124" s="14" t="s">
        <v>171</v>
      </c>
      <c r="D124" s="16" t="s">
        <v>200</v>
      </c>
      <c r="E124" s="63">
        <f>1+2</f>
        <v>3</v>
      </c>
      <c r="F124" s="68">
        <v>3</v>
      </c>
      <c r="G124" s="73">
        <f t="shared" si="3"/>
        <v>100</v>
      </c>
    </row>
    <row r="125" spans="1:7" ht="195">
      <c r="A125" s="9">
        <f t="shared" si="4"/>
        <v>118</v>
      </c>
      <c r="B125" s="14" t="s">
        <v>27</v>
      </c>
      <c r="C125" s="14" t="s">
        <v>171</v>
      </c>
      <c r="D125" s="16" t="s">
        <v>200</v>
      </c>
      <c r="E125" s="63">
        <f>112.81+150.98207+0.382+20</f>
        <v>284.17406999999997</v>
      </c>
      <c r="F125" s="68">
        <v>294.50179000000003</v>
      </c>
      <c r="G125" s="73">
        <f t="shared" si="3"/>
        <v>103.63429358632195</v>
      </c>
    </row>
    <row r="126" spans="1:7" ht="94.5">
      <c r="A126" s="9">
        <f t="shared" si="4"/>
        <v>119</v>
      </c>
      <c r="B126" s="14" t="s">
        <v>49</v>
      </c>
      <c r="C126" s="14" t="s">
        <v>174</v>
      </c>
      <c r="D126" s="32" t="s">
        <v>173</v>
      </c>
      <c r="E126" s="63">
        <f>E127</f>
        <v>62</v>
      </c>
      <c r="F126" s="63">
        <f>F127</f>
        <v>61.11703</v>
      </c>
      <c r="G126" s="73">
        <f t="shared" si="3"/>
        <v>98.575854838709674</v>
      </c>
    </row>
    <row r="127" spans="1:7" ht="90">
      <c r="A127" s="9">
        <f t="shared" si="4"/>
        <v>120</v>
      </c>
      <c r="B127" s="14" t="s">
        <v>28</v>
      </c>
      <c r="C127" s="14" t="s">
        <v>172</v>
      </c>
      <c r="D127" s="15" t="s">
        <v>40</v>
      </c>
      <c r="E127" s="63">
        <f>30+32</f>
        <v>62</v>
      </c>
      <c r="F127" s="68">
        <v>61.11703</v>
      </c>
      <c r="G127" s="73">
        <f t="shared" si="3"/>
        <v>98.575854838709674</v>
      </c>
    </row>
    <row r="128" spans="1:7" ht="126">
      <c r="A128" s="9">
        <f t="shared" si="4"/>
        <v>121</v>
      </c>
      <c r="B128" s="14" t="s">
        <v>49</v>
      </c>
      <c r="C128" s="14" t="s">
        <v>357</v>
      </c>
      <c r="D128" s="33" t="s">
        <v>354</v>
      </c>
      <c r="E128" s="63">
        <f>SUM(E129:E131)</f>
        <v>93.29204</v>
      </c>
      <c r="F128" s="63">
        <f>SUM(F129:F131)</f>
        <v>95.252809999999997</v>
      </c>
      <c r="G128" s="73">
        <f t="shared" si="3"/>
        <v>102.10175487640747</v>
      </c>
    </row>
    <row r="129" spans="1:7" ht="120">
      <c r="A129" s="9">
        <f t="shared" si="4"/>
        <v>122</v>
      </c>
      <c r="B129" s="14" t="s">
        <v>28</v>
      </c>
      <c r="C129" s="14" t="s">
        <v>458</v>
      </c>
      <c r="D129" s="34" t="s">
        <v>457</v>
      </c>
      <c r="E129" s="63">
        <v>1</v>
      </c>
      <c r="F129" s="68">
        <v>2</v>
      </c>
      <c r="G129" s="73">
        <f t="shared" si="3"/>
        <v>200</v>
      </c>
    </row>
    <row r="130" spans="1:7" ht="135">
      <c r="A130" s="9">
        <f t="shared" si="4"/>
        <v>123</v>
      </c>
      <c r="B130" s="14" t="s">
        <v>358</v>
      </c>
      <c r="C130" s="14" t="s">
        <v>356</v>
      </c>
      <c r="D130" s="31" t="s">
        <v>355</v>
      </c>
      <c r="E130" s="63">
        <f>76.10238+3.2869+11.81685</f>
        <v>91.206130000000002</v>
      </c>
      <c r="F130" s="68">
        <v>92.167259999999999</v>
      </c>
      <c r="G130" s="73">
        <f t="shared" si="3"/>
        <v>101.0537997829751</v>
      </c>
    </row>
    <row r="131" spans="1:7" ht="135">
      <c r="A131" s="9">
        <f t="shared" si="4"/>
        <v>124</v>
      </c>
      <c r="B131" s="14" t="s">
        <v>438</v>
      </c>
      <c r="C131" s="14" t="s">
        <v>356</v>
      </c>
      <c r="D131" s="31" t="s">
        <v>355</v>
      </c>
      <c r="E131" s="63">
        <f>1.08555+0.80136-0.801</f>
        <v>1.0859099999999997</v>
      </c>
      <c r="F131" s="68">
        <v>1.08555</v>
      </c>
      <c r="G131" s="73">
        <f t="shared" si="3"/>
        <v>99.966848081332742</v>
      </c>
    </row>
    <row r="132" spans="1:7" ht="47.25">
      <c r="A132" s="9">
        <f t="shared" si="4"/>
        <v>125</v>
      </c>
      <c r="B132" s="14" t="s">
        <v>49</v>
      </c>
      <c r="C132" s="14" t="s">
        <v>176</v>
      </c>
      <c r="D132" s="35" t="s">
        <v>175</v>
      </c>
      <c r="E132" s="63">
        <f>E133+E135</f>
        <v>955.09709999999995</v>
      </c>
      <c r="F132" s="63">
        <f>F133+F135</f>
        <v>901.28136999999992</v>
      </c>
      <c r="G132" s="73">
        <f t="shared" si="3"/>
        <v>94.365417924523058</v>
      </c>
    </row>
    <row r="133" spans="1:7" ht="135">
      <c r="A133" s="9">
        <f t="shared" si="4"/>
        <v>126</v>
      </c>
      <c r="B133" s="14" t="s">
        <v>49</v>
      </c>
      <c r="C133" s="14" t="s">
        <v>397</v>
      </c>
      <c r="D133" s="36" t="s">
        <v>394</v>
      </c>
      <c r="E133" s="63">
        <f>E134</f>
        <v>147.363</v>
      </c>
      <c r="F133" s="63">
        <f>F134</f>
        <v>147.36304000000001</v>
      </c>
      <c r="G133" s="73">
        <f t="shared" si="3"/>
        <v>100.00002714385565</v>
      </c>
    </row>
    <row r="134" spans="1:7" ht="90">
      <c r="A134" s="9">
        <f t="shared" si="4"/>
        <v>127</v>
      </c>
      <c r="B134" s="14" t="s">
        <v>28</v>
      </c>
      <c r="C134" s="14" t="s">
        <v>391</v>
      </c>
      <c r="D134" s="6" t="s">
        <v>396</v>
      </c>
      <c r="E134" s="63">
        <v>147.363</v>
      </c>
      <c r="F134" s="68">
        <v>147.36304000000001</v>
      </c>
      <c r="G134" s="73">
        <f t="shared" si="3"/>
        <v>100.00002714385565</v>
      </c>
    </row>
    <row r="135" spans="1:7" ht="75">
      <c r="A135" s="9">
        <f t="shared" si="4"/>
        <v>128</v>
      </c>
      <c r="B135" s="14" t="s">
        <v>49</v>
      </c>
      <c r="C135" s="14" t="s">
        <v>449</v>
      </c>
      <c r="D135" s="6" t="s">
        <v>450</v>
      </c>
      <c r="E135" s="63">
        <f>E136+E141</f>
        <v>807.73410000000001</v>
      </c>
      <c r="F135" s="63">
        <f>F136+F141</f>
        <v>753.91832999999997</v>
      </c>
      <c r="G135" s="73">
        <f t="shared" si="3"/>
        <v>93.337439882753486</v>
      </c>
    </row>
    <row r="136" spans="1:7" ht="135">
      <c r="A136" s="9">
        <f t="shared" si="4"/>
        <v>129</v>
      </c>
      <c r="B136" s="14" t="s">
        <v>49</v>
      </c>
      <c r="C136" s="14" t="s">
        <v>395</v>
      </c>
      <c r="D136" s="36" t="s">
        <v>394</v>
      </c>
      <c r="E136" s="63">
        <f>SUM(E137:E140)</f>
        <v>502.37600000000003</v>
      </c>
      <c r="F136" s="63">
        <f>SUM(F137:F140)</f>
        <v>499.13932999999997</v>
      </c>
      <c r="G136" s="73">
        <f t="shared" si="3"/>
        <v>99.35572758252782</v>
      </c>
    </row>
    <row r="137" spans="1:7" ht="120">
      <c r="A137" s="9">
        <f t="shared" si="4"/>
        <v>130</v>
      </c>
      <c r="B137" s="14" t="s">
        <v>9</v>
      </c>
      <c r="C137" s="14" t="s">
        <v>177</v>
      </c>
      <c r="D137" s="16" t="s">
        <v>178</v>
      </c>
      <c r="E137" s="63">
        <f>1+6-1-2</f>
        <v>4</v>
      </c>
      <c r="F137" s="68">
        <v>4</v>
      </c>
      <c r="G137" s="73">
        <f t="shared" ref="G137:G200" si="5">F137/E137*100</f>
        <v>100</v>
      </c>
    </row>
    <row r="138" spans="1:7" ht="120">
      <c r="A138" s="9">
        <f t="shared" ref="A138:A201" si="6">A137+1</f>
        <v>131</v>
      </c>
      <c r="B138" s="14" t="s">
        <v>359</v>
      </c>
      <c r="C138" s="14" t="s">
        <v>177</v>
      </c>
      <c r="D138" s="16" t="s">
        <v>178</v>
      </c>
      <c r="E138" s="63">
        <f>20-5-30+7.3</f>
        <v>-7.7</v>
      </c>
      <c r="F138" s="68">
        <v>-7.7461099999999998</v>
      </c>
      <c r="G138" s="73">
        <f t="shared" si="5"/>
        <v>100.59883116883117</v>
      </c>
    </row>
    <row r="139" spans="1:7" ht="120">
      <c r="A139" s="9">
        <f t="shared" si="6"/>
        <v>132</v>
      </c>
      <c r="B139" s="14" t="s">
        <v>28</v>
      </c>
      <c r="C139" s="14" t="s">
        <v>177</v>
      </c>
      <c r="D139" s="16" t="s">
        <v>178</v>
      </c>
      <c r="E139" s="63">
        <f>350+276.225-28-11-81.649</f>
        <v>505.57600000000002</v>
      </c>
      <c r="F139" s="68">
        <v>502.77400999999998</v>
      </c>
      <c r="G139" s="73">
        <f t="shared" si="5"/>
        <v>99.44578263208696</v>
      </c>
    </row>
    <row r="140" spans="1:7" ht="135">
      <c r="A140" s="9">
        <f t="shared" si="6"/>
        <v>133</v>
      </c>
      <c r="B140" s="14" t="s">
        <v>9</v>
      </c>
      <c r="C140" s="14" t="s">
        <v>179</v>
      </c>
      <c r="D140" s="16" t="s">
        <v>180</v>
      </c>
      <c r="E140" s="63">
        <f>1-0.5</f>
        <v>0.5</v>
      </c>
      <c r="F140" s="68">
        <v>0.11143</v>
      </c>
      <c r="G140" s="73">
        <f t="shared" si="5"/>
        <v>22.286000000000001</v>
      </c>
    </row>
    <row r="141" spans="1:7" ht="105">
      <c r="A141" s="9">
        <f t="shared" si="6"/>
        <v>134</v>
      </c>
      <c r="B141" s="14" t="s">
        <v>49</v>
      </c>
      <c r="C141" s="14" t="s">
        <v>447</v>
      </c>
      <c r="D141" s="16" t="s">
        <v>448</v>
      </c>
      <c r="E141" s="63">
        <f>E142</f>
        <v>305.35809999999998</v>
      </c>
      <c r="F141" s="63">
        <f>F142</f>
        <v>254.779</v>
      </c>
      <c r="G141" s="73">
        <f t="shared" si="5"/>
        <v>83.436136130006062</v>
      </c>
    </row>
    <row r="142" spans="1:7" ht="105">
      <c r="A142" s="9">
        <f t="shared" si="6"/>
        <v>135</v>
      </c>
      <c r="B142" s="14" t="s">
        <v>206</v>
      </c>
      <c r="C142" s="14" t="s">
        <v>447</v>
      </c>
      <c r="D142" s="16" t="s">
        <v>448</v>
      </c>
      <c r="E142" s="63">
        <v>305.35809999999998</v>
      </c>
      <c r="F142" s="68">
        <v>254.779</v>
      </c>
      <c r="G142" s="73">
        <f t="shared" si="5"/>
        <v>83.436136130006062</v>
      </c>
    </row>
    <row r="143" spans="1:7" ht="31.5">
      <c r="A143" s="9">
        <f t="shared" si="6"/>
        <v>136</v>
      </c>
      <c r="B143" s="12" t="s">
        <v>49</v>
      </c>
      <c r="C143" s="12" t="s">
        <v>181</v>
      </c>
      <c r="D143" s="13" t="s">
        <v>41</v>
      </c>
      <c r="E143" s="62">
        <f>E146+E144</f>
        <v>100.00279999999999</v>
      </c>
      <c r="F143" s="62">
        <f>F146+F144</f>
        <v>101.00279999999999</v>
      </c>
      <c r="G143" s="74">
        <f t="shared" si="5"/>
        <v>100.99997200078398</v>
      </c>
    </row>
    <row r="144" spans="1:7" ht="30">
      <c r="A144" s="9">
        <f t="shared" si="6"/>
        <v>137</v>
      </c>
      <c r="B144" s="14" t="s">
        <v>49</v>
      </c>
      <c r="C144" s="71" t="s">
        <v>464</v>
      </c>
      <c r="D144" s="72" t="s">
        <v>462</v>
      </c>
      <c r="E144" s="63">
        <f>E145</f>
        <v>0</v>
      </c>
      <c r="F144" s="63">
        <f>F145</f>
        <v>1</v>
      </c>
      <c r="G144" s="73">
        <v>0</v>
      </c>
    </row>
    <row r="145" spans="1:7" ht="45">
      <c r="A145" s="9">
        <f t="shared" si="6"/>
        <v>138</v>
      </c>
      <c r="B145" s="14" t="s">
        <v>28</v>
      </c>
      <c r="C145" s="69" t="s">
        <v>465</v>
      </c>
      <c r="D145" s="70" t="s">
        <v>463</v>
      </c>
      <c r="E145" s="63">
        <v>0</v>
      </c>
      <c r="F145" s="63">
        <v>1</v>
      </c>
      <c r="G145" s="73">
        <v>0</v>
      </c>
    </row>
    <row r="146" spans="1:7" ht="30">
      <c r="A146" s="9">
        <f t="shared" si="6"/>
        <v>139</v>
      </c>
      <c r="B146" s="14" t="s">
        <v>49</v>
      </c>
      <c r="C146" s="14" t="s">
        <v>183</v>
      </c>
      <c r="D146" s="15" t="s">
        <v>182</v>
      </c>
      <c r="E146" s="63">
        <f>E147</f>
        <v>100.00279999999999</v>
      </c>
      <c r="F146" s="63">
        <f>F147</f>
        <v>100.00279999999999</v>
      </c>
      <c r="G146" s="73">
        <f t="shared" si="5"/>
        <v>100</v>
      </c>
    </row>
    <row r="147" spans="1:7" ht="75">
      <c r="A147" s="9">
        <f t="shared" si="6"/>
        <v>140</v>
      </c>
      <c r="B147" s="14" t="s">
        <v>28</v>
      </c>
      <c r="C147" s="14" t="s">
        <v>440</v>
      </c>
      <c r="D147" s="15" t="s">
        <v>439</v>
      </c>
      <c r="E147" s="63">
        <f>30+70.0028</f>
        <v>100.00279999999999</v>
      </c>
      <c r="F147" s="68">
        <v>100.00279999999999</v>
      </c>
      <c r="G147" s="73">
        <f t="shared" si="5"/>
        <v>100</v>
      </c>
    </row>
    <row r="148" spans="1:7" ht="24" customHeight="1">
      <c r="A148" s="9">
        <f t="shared" si="6"/>
        <v>141</v>
      </c>
      <c r="B148" s="12" t="s">
        <v>49</v>
      </c>
      <c r="C148" s="12" t="s">
        <v>201</v>
      </c>
      <c r="D148" s="13" t="s">
        <v>187</v>
      </c>
      <c r="E148" s="62">
        <f>E149+E239+E247+E242</f>
        <v>1387098.5822399999</v>
      </c>
      <c r="F148" s="62">
        <f>F149+F239+F247+F242</f>
        <v>1175556.8608100002</v>
      </c>
      <c r="G148" s="74">
        <f t="shared" si="5"/>
        <v>84.749337636234557</v>
      </c>
    </row>
    <row r="149" spans="1:7" ht="78.75">
      <c r="A149" s="9">
        <f t="shared" si="6"/>
        <v>142</v>
      </c>
      <c r="B149" s="37" t="s">
        <v>49</v>
      </c>
      <c r="C149" s="37" t="s">
        <v>203</v>
      </c>
      <c r="D149" s="5" t="s">
        <v>188</v>
      </c>
      <c r="E149" s="58">
        <f>E152+E194+E150+E221</f>
        <v>1392895.5766599998</v>
      </c>
      <c r="F149" s="58">
        <f>F152+F194+F150+F221</f>
        <v>1181399.2357300001</v>
      </c>
      <c r="G149" s="74">
        <f t="shared" si="5"/>
        <v>84.816066295713057</v>
      </c>
    </row>
    <row r="150" spans="1:7" ht="33" customHeight="1">
      <c r="A150" s="9">
        <f t="shared" si="6"/>
        <v>143</v>
      </c>
      <c r="B150" s="37" t="s">
        <v>49</v>
      </c>
      <c r="C150" s="38" t="s">
        <v>282</v>
      </c>
      <c r="D150" s="5" t="s">
        <v>283</v>
      </c>
      <c r="E150" s="58">
        <f>E151</f>
        <v>42388.2</v>
      </c>
      <c r="F150" s="58">
        <f>F151</f>
        <v>42388.2</v>
      </c>
      <c r="G150" s="74">
        <f t="shared" si="5"/>
        <v>100</v>
      </c>
    </row>
    <row r="151" spans="1:7" ht="120">
      <c r="A151" s="9">
        <f t="shared" si="6"/>
        <v>144</v>
      </c>
      <c r="B151" s="38" t="s">
        <v>206</v>
      </c>
      <c r="C151" s="38" t="s">
        <v>301</v>
      </c>
      <c r="D151" s="39" t="s">
        <v>281</v>
      </c>
      <c r="E151" s="59">
        <f>23217+10807.1+8364.1</f>
        <v>42388.2</v>
      </c>
      <c r="F151" s="68">
        <v>42388.2</v>
      </c>
      <c r="G151" s="73">
        <f t="shared" si="5"/>
        <v>100</v>
      </c>
    </row>
    <row r="152" spans="1:7" ht="63">
      <c r="A152" s="9">
        <f t="shared" si="6"/>
        <v>145</v>
      </c>
      <c r="B152" s="37" t="s">
        <v>49</v>
      </c>
      <c r="C152" s="37" t="s">
        <v>202</v>
      </c>
      <c r="D152" s="40" t="s">
        <v>189</v>
      </c>
      <c r="E152" s="60">
        <f>E153+E155+E157+E159+E161+E163+E165+E167+E169</f>
        <v>711972.56294999993</v>
      </c>
      <c r="F152" s="60">
        <f>F153+F155+F157+F159+F161+F163+F165+F167+F169</f>
        <v>503396.3996</v>
      </c>
      <c r="G152" s="74">
        <f t="shared" si="5"/>
        <v>70.704466126365645</v>
      </c>
    </row>
    <row r="153" spans="1:7" ht="210">
      <c r="A153" s="9">
        <f t="shared" si="6"/>
        <v>146</v>
      </c>
      <c r="B153" s="38" t="s">
        <v>49</v>
      </c>
      <c r="C153" s="38" t="s">
        <v>291</v>
      </c>
      <c r="D153" s="22" t="s">
        <v>288</v>
      </c>
      <c r="E153" s="61">
        <f>E154</f>
        <v>283498.07780999999</v>
      </c>
      <c r="F153" s="61">
        <f>F154</f>
        <v>117106.8556</v>
      </c>
      <c r="G153" s="73">
        <f t="shared" si="5"/>
        <v>41.307812915220133</v>
      </c>
    </row>
    <row r="154" spans="1:7" ht="195">
      <c r="A154" s="9">
        <f t="shared" si="6"/>
        <v>147</v>
      </c>
      <c r="B154" s="38" t="s">
        <v>206</v>
      </c>
      <c r="C154" s="38" t="s">
        <v>292</v>
      </c>
      <c r="D154" s="34" t="s">
        <v>320</v>
      </c>
      <c r="E154" s="61">
        <f>292298.2-9273.9+473.77781</f>
        <v>283498.07780999999</v>
      </c>
      <c r="F154" s="68">
        <v>117106.8556</v>
      </c>
      <c r="G154" s="73">
        <f t="shared" si="5"/>
        <v>41.307812915220133</v>
      </c>
    </row>
    <row r="155" spans="1:7" ht="165">
      <c r="A155" s="9">
        <f t="shared" si="6"/>
        <v>148</v>
      </c>
      <c r="B155" s="38" t="s">
        <v>49</v>
      </c>
      <c r="C155" s="38" t="s">
        <v>293</v>
      </c>
      <c r="D155" s="22" t="s">
        <v>289</v>
      </c>
      <c r="E155" s="61">
        <f>E156</f>
        <v>41710.035499999991</v>
      </c>
      <c r="F155" s="61">
        <f>F156</f>
        <v>40726.369100000004</v>
      </c>
      <c r="G155" s="73">
        <f t="shared" si="5"/>
        <v>97.641655327768802</v>
      </c>
    </row>
    <row r="156" spans="1:7" ht="150">
      <c r="A156" s="9">
        <f t="shared" si="6"/>
        <v>149</v>
      </c>
      <c r="B156" s="38" t="s">
        <v>206</v>
      </c>
      <c r="C156" s="38" t="s">
        <v>294</v>
      </c>
      <c r="D156" s="34" t="s">
        <v>290</v>
      </c>
      <c r="E156" s="61">
        <f>52359.8-0.01563-10649.74887+10649.74887-10649.78487+0.0355+0.0005</f>
        <v>41710.035499999991</v>
      </c>
      <c r="F156" s="68">
        <v>40726.369100000004</v>
      </c>
      <c r="G156" s="73">
        <f t="shared" si="5"/>
        <v>97.641655327768802</v>
      </c>
    </row>
    <row r="157" spans="1:7" ht="60">
      <c r="A157" s="9">
        <f t="shared" si="6"/>
        <v>150</v>
      </c>
      <c r="B157" s="38" t="s">
        <v>49</v>
      </c>
      <c r="C157" s="38" t="s">
        <v>312</v>
      </c>
      <c r="D157" s="41" t="s">
        <v>313</v>
      </c>
      <c r="E157" s="61">
        <f>E158</f>
        <v>76759.7</v>
      </c>
      <c r="F157" s="61">
        <f>F158</f>
        <v>76734.940119999999</v>
      </c>
      <c r="G157" s="73">
        <f t="shared" si="5"/>
        <v>99.967743646731293</v>
      </c>
    </row>
    <row r="158" spans="1:7" ht="75">
      <c r="A158" s="9">
        <f t="shared" si="6"/>
        <v>151</v>
      </c>
      <c r="B158" s="38" t="s">
        <v>206</v>
      </c>
      <c r="C158" s="38" t="s">
        <v>310</v>
      </c>
      <c r="D158" s="34" t="s">
        <v>311</v>
      </c>
      <c r="E158" s="61">
        <v>76759.7</v>
      </c>
      <c r="F158" s="68">
        <v>76734.940119999999</v>
      </c>
      <c r="G158" s="73">
        <f t="shared" si="5"/>
        <v>99.967743646731293</v>
      </c>
    </row>
    <row r="159" spans="1:7" ht="90">
      <c r="A159" s="9">
        <f t="shared" si="6"/>
        <v>152</v>
      </c>
      <c r="B159" s="38" t="s">
        <v>49</v>
      </c>
      <c r="C159" s="38" t="s">
        <v>204</v>
      </c>
      <c r="D159" s="42" t="s">
        <v>205</v>
      </c>
      <c r="E159" s="61">
        <f>E160</f>
        <v>14707.15148</v>
      </c>
      <c r="F159" s="61">
        <f>F160</f>
        <v>13622.37904</v>
      </c>
      <c r="G159" s="73">
        <f t="shared" si="5"/>
        <v>92.62418394564601</v>
      </c>
    </row>
    <row r="160" spans="1:7" ht="105">
      <c r="A160" s="9">
        <f t="shared" si="6"/>
        <v>153</v>
      </c>
      <c r="B160" s="38" t="s">
        <v>206</v>
      </c>
      <c r="C160" s="38" t="s">
        <v>207</v>
      </c>
      <c r="D160" s="43" t="s">
        <v>208</v>
      </c>
      <c r="E160" s="61">
        <v>14707.15148</v>
      </c>
      <c r="F160" s="68">
        <v>13622.37904</v>
      </c>
      <c r="G160" s="73">
        <f t="shared" si="5"/>
        <v>92.62418394564601</v>
      </c>
    </row>
    <row r="161" spans="1:7" ht="90">
      <c r="A161" s="9">
        <f t="shared" si="6"/>
        <v>154</v>
      </c>
      <c r="B161" s="38" t="s">
        <v>49</v>
      </c>
      <c r="C161" s="38" t="s">
        <v>330</v>
      </c>
      <c r="D161" s="34" t="s">
        <v>328</v>
      </c>
      <c r="E161" s="61">
        <f>E162</f>
        <v>870.07299999999998</v>
      </c>
      <c r="F161" s="61">
        <f>F162</f>
        <v>870.07299999999998</v>
      </c>
      <c r="G161" s="73">
        <f t="shared" si="5"/>
        <v>100</v>
      </c>
    </row>
    <row r="162" spans="1:7" ht="90">
      <c r="A162" s="9">
        <f t="shared" si="6"/>
        <v>155</v>
      </c>
      <c r="B162" s="38" t="s">
        <v>206</v>
      </c>
      <c r="C162" s="38" t="s">
        <v>331</v>
      </c>
      <c r="D162" s="34" t="s">
        <v>329</v>
      </c>
      <c r="E162" s="61">
        <v>870.07299999999998</v>
      </c>
      <c r="F162" s="68">
        <v>870.07299999999998</v>
      </c>
      <c r="G162" s="73">
        <f t="shared" si="5"/>
        <v>100</v>
      </c>
    </row>
    <row r="163" spans="1:7" ht="60">
      <c r="A163" s="9">
        <f t="shared" si="6"/>
        <v>156</v>
      </c>
      <c r="B163" s="38" t="s">
        <v>49</v>
      </c>
      <c r="C163" s="38" t="s">
        <v>346</v>
      </c>
      <c r="D163" s="34" t="s">
        <v>345</v>
      </c>
      <c r="E163" s="61">
        <f>E164</f>
        <v>2966.1032399999999</v>
      </c>
      <c r="F163" s="61">
        <f>F164</f>
        <v>2966.1032399999999</v>
      </c>
      <c r="G163" s="73">
        <f t="shared" si="5"/>
        <v>100</v>
      </c>
    </row>
    <row r="164" spans="1:7" ht="60">
      <c r="A164" s="9">
        <f t="shared" si="6"/>
        <v>157</v>
      </c>
      <c r="B164" s="38" t="s">
        <v>206</v>
      </c>
      <c r="C164" s="38" t="s">
        <v>347</v>
      </c>
      <c r="D164" s="34" t="s">
        <v>348</v>
      </c>
      <c r="E164" s="61">
        <v>2966.1032399999999</v>
      </c>
      <c r="F164" s="68">
        <v>2966.1032399999999</v>
      </c>
      <c r="G164" s="73">
        <f t="shared" si="5"/>
        <v>100</v>
      </c>
    </row>
    <row r="165" spans="1:7" ht="30">
      <c r="A165" s="9">
        <f t="shared" si="6"/>
        <v>158</v>
      </c>
      <c r="B165" s="38" t="s">
        <v>49</v>
      </c>
      <c r="C165" s="38" t="s">
        <v>286</v>
      </c>
      <c r="D165" s="34" t="s">
        <v>284</v>
      </c>
      <c r="E165" s="61">
        <f>E166</f>
        <v>81.400000000000006</v>
      </c>
      <c r="F165" s="61">
        <f>F166</f>
        <v>81.400000000000006</v>
      </c>
      <c r="G165" s="73">
        <f t="shared" si="5"/>
        <v>100</v>
      </c>
    </row>
    <row r="166" spans="1:7" ht="45">
      <c r="A166" s="9">
        <f t="shared" si="6"/>
        <v>159</v>
      </c>
      <c r="B166" s="38" t="s">
        <v>206</v>
      </c>
      <c r="C166" s="38" t="s">
        <v>287</v>
      </c>
      <c r="D166" s="34" t="s">
        <v>285</v>
      </c>
      <c r="E166" s="61">
        <v>81.400000000000006</v>
      </c>
      <c r="F166" s="68">
        <v>81.400000000000006</v>
      </c>
      <c r="G166" s="73">
        <f t="shared" si="5"/>
        <v>100</v>
      </c>
    </row>
    <row r="167" spans="1:7" ht="60">
      <c r="A167" s="9">
        <f t="shared" si="6"/>
        <v>160</v>
      </c>
      <c r="B167" s="38" t="s">
        <v>49</v>
      </c>
      <c r="C167" s="38" t="s">
        <v>209</v>
      </c>
      <c r="D167" s="43" t="s">
        <v>210</v>
      </c>
      <c r="E167" s="61">
        <f>E168</f>
        <v>16532.68518</v>
      </c>
      <c r="F167" s="61">
        <f>F168</f>
        <v>16532.68518</v>
      </c>
      <c r="G167" s="73">
        <f t="shared" si="5"/>
        <v>100</v>
      </c>
    </row>
    <row r="168" spans="1:7" ht="60">
      <c r="A168" s="9">
        <f t="shared" si="6"/>
        <v>161</v>
      </c>
      <c r="B168" s="38" t="s">
        <v>206</v>
      </c>
      <c r="C168" s="38" t="s">
        <v>211</v>
      </c>
      <c r="D168" s="43" t="s">
        <v>212</v>
      </c>
      <c r="E168" s="61">
        <f>16532.7-0.01482</f>
        <v>16532.68518</v>
      </c>
      <c r="F168" s="68">
        <v>16532.68518</v>
      </c>
      <c r="G168" s="73">
        <f t="shared" si="5"/>
        <v>100</v>
      </c>
    </row>
    <row r="169" spans="1:7" ht="15">
      <c r="A169" s="9">
        <f t="shared" si="6"/>
        <v>162</v>
      </c>
      <c r="B169" s="38" t="s">
        <v>49</v>
      </c>
      <c r="C169" s="38" t="s">
        <v>213</v>
      </c>
      <c r="D169" s="43" t="s">
        <v>214</v>
      </c>
      <c r="E169" s="61">
        <f>E170</f>
        <v>274847.33674</v>
      </c>
      <c r="F169" s="61">
        <f>F170</f>
        <v>234755.59432</v>
      </c>
      <c r="G169" s="73">
        <f t="shared" si="5"/>
        <v>85.413086808286607</v>
      </c>
    </row>
    <row r="170" spans="1:7" ht="30">
      <c r="A170" s="9">
        <f t="shared" si="6"/>
        <v>163</v>
      </c>
      <c r="B170" s="38" t="s">
        <v>49</v>
      </c>
      <c r="C170" s="38" t="s">
        <v>215</v>
      </c>
      <c r="D170" s="43" t="s">
        <v>216</v>
      </c>
      <c r="E170" s="61">
        <f>SUM(E171:E193)</f>
        <v>274847.33674</v>
      </c>
      <c r="F170" s="61">
        <f>SUM(F171:F193)</f>
        <v>234755.59432</v>
      </c>
      <c r="G170" s="73">
        <f t="shared" si="5"/>
        <v>85.413086808286607</v>
      </c>
    </row>
    <row r="171" spans="1:7" ht="75">
      <c r="A171" s="9">
        <f t="shared" si="6"/>
        <v>164</v>
      </c>
      <c r="B171" s="38" t="s">
        <v>206</v>
      </c>
      <c r="C171" s="38" t="s">
        <v>370</v>
      </c>
      <c r="D171" s="43" t="s">
        <v>372</v>
      </c>
      <c r="E171" s="61">
        <v>1120.5</v>
      </c>
      <c r="F171" s="68">
        <v>1109.37366</v>
      </c>
      <c r="G171" s="73">
        <f t="shared" si="5"/>
        <v>99.007020080321283</v>
      </c>
    </row>
    <row r="172" spans="1:7" ht="45">
      <c r="A172" s="9">
        <f t="shared" si="6"/>
        <v>165</v>
      </c>
      <c r="B172" s="38" t="s">
        <v>206</v>
      </c>
      <c r="C172" s="38" t="s">
        <v>371</v>
      </c>
      <c r="D172" s="43" t="s">
        <v>373</v>
      </c>
      <c r="E172" s="61">
        <v>73.7</v>
      </c>
      <c r="F172" s="68">
        <v>73.029160000000005</v>
      </c>
      <c r="G172" s="73">
        <f t="shared" si="5"/>
        <v>99.089769335142478</v>
      </c>
    </row>
    <row r="173" spans="1:7" ht="120">
      <c r="A173" s="9">
        <f t="shared" si="6"/>
        <v>166</v>
      </c>
      <c r="B173" s="38" t="s">
        <v>206</v>
      </c>
      <c r="C173" s="38" t="s">
        <v>429</v>
      </c>
      <c r="D173" s="43" t="s">
        <v>430</v>
      </c>
      <c r="E173" s="61">
        <v>70000</v>
      </c>
      <c r="F173" s="68">
        <v>70000</v>
      </c>
      <c r="G173" s="73">
        <f t="shared" si="5"/>
        <v>100</v>
      </c>
    </row>
    <row r="174" spans="1:7" ht="75">
      <c r="A174" s="9">
        <f t="shared" si="6"/>
        <v>167</v>
      </c>
      <c r="B174" s="38" t="s">
        <v>206</v>
      </c>
      <c r="C174" s="38" t="s">
        <v>433</v>
      </c>
      <c r="D174" s="43" t="s">
        <v>434</v>
      </c>
      <c r="E174" s="61">
        <v>51.2</v>
      </c>
      <c r="F174" s="68">
        <v>51.2</v>
      </c>
      <c r="G174" s="73">
        <f t="shared" si="5"/>
        <v>100</v>
      </c>
    </row>
    <row r="175" spans="1:7" ht="105">
      <c r="A175" s="9">
        <f t="shared" si="6"/>
        <v>168</v>
      </c>
      <c r="B175" s="38" t="s">
        <v>206</v>
      </c>
      <c r="C175" s="38" t="s">
        <v>217</v>
      </c>
      <c r="D175" s="43" t="s">
        <v>218</v>
      </c>
      <c r="E175" s="61">
        <v>20</v>
      </c>
      <c r="F175" s="68">
        <v>20</v>
      </c>
      <c r="G175" s="73">
        <f t="shared" si="5"/>
        <v>100</v>
      </c>
    </row>
    <row r="176" spans="1:7" ht="120">
      <c r="A176" s="9">
        <f t="shared" si="6"/>
        <v>169</v>
      </c>
      <c r="B176" s="38" t="s">
        <v>206</v>
      </c>
      <c r="C176" s="38" t="s">
        <v>392</v>
      </c>
      <c r="D176" s="43" t="s">
        <v>393</v>
      </c>
      <c r="E176" s="61">
        <v>3763.9465</v>
      </c>
      <c r="F176" s="68">
        <v>3763.9465</v>
      </c>
      <c r="G176" s="73">
        <f t="shared" si="5"/>
        <v>100</v>
      </c>
    </row>
    <row r="177" spans="1:7" ht="150">
      <c r="A177" s="9">
        <f t="shared" si="6"/>
        <v>170</v>
      </c>
      <c r="B177" s="38" t="s">
        <v>206</v>
      </c>
      <c r="C177" s="38" t="s">
        <v>400</v>
      </c>
      <c r="D177" s="44" t="s">
        <v>401</v>
      </c>
      <c r="E177" s="61">
        <f>5000+4750</f>
        <v>9750</v>
      </c>
      <c r="F177" s="68">
        <v>9749.9996800000008</v>
      </c>
      <c r="G177" s="73">
        <f t="shared" si="5"/>
        <v>99.999996717948719</v>
      </c>
    </row>
    <row r="178" spans="1:7" ht="90">
      <c r="A178" s="9">
        <f t="shared" si="6"/>
        <v>171</v>
      </c>
      <c r="B178" s="38" t="s">
        <v>206</v>
      </c>
      <c r="C178" s="38" t="s">
        <v>382</v>
      </c>
      <c r="D178" s="43" t="s">
        <v>390</v>
      </c>
      <c r="E178" s="61">
        <v>200</v>
      </c>
      <c r="F178" s="68">
        <v>200</v>
      </c>
      <c r="G178" s="73">
        <f t="shared" si="5"/>
        <v>100</v>
      </c>
    </row>
    <row r="179" spans="1:7" ht="60">
      <c r="A179" s="9">
        <f t="shared" si="6"/>
        <v>172</v>
      </c>
      <c r="B179" s="38" t="s">
        <v>206</v>
      </c>
      <c r="C179" s="38" t="s">
        <v>219</v>
      </c>
      <c r="D179" s="43" t="s">
        <v>220</v>
      </c>
      <c r="E179" s="61">
        <v>1016.4</v>
      </c>
      <c r="F179" s="68">
        <v>1016.4</v>
      </c>
      <c r="G179" s="73">
        <f t="shared" si="5"/>
        <v>100</v>
      </c>
    </row>
    <row r="180" spans="1:7" ht="238.9" customHeight="1">
      <c r="A180" s="9">
        <f t="shared" si="6"/>
        <v>173</v>
      </c>
      <c r="B180" s="38" t="s">
        <v>206</v>
      </c>
      <c r="C180" s="38" t="s">
        <v>404</v>
      </c>
      <c r="D180" s="44" t="s">
        <v>405</v>
      </c>
      <c r="E180" s="61">
        <v>405</v>
      </c>
      <c r="F180" s="68">
        <v>405</v>
      </c>
      <c r="G180" s="73">
        <f t="shared" si="5"/>
        <v>100</v>
      </c>
    </row>
    <row r="181" spans="1:7" ht="60">
      <c r="A181" s="9">
        <f t="shared" si="6"/>
        <v>174</v>
      </c>
      <c r="B181" s="38" t="s">
        <v>206</v>
      </c>
      <c r="C181" s="38" t="s">
        <v>352</v>
      </c>
      <c r="D181" s="43" t="s">
        <v>353</v>
      </c>
      <c r="E181" s="61">
        <v>40000</v>
      </c>
      <c r="F181" s="68">
        <v>40000</v>
      </c>
      <c r="G181" s="73">
        <f t="shared" si="5"/>
        <v>100</v>
      </c>
    </row>
    <row r="182" spans="1:7" ht="60">
      <c r="A182" s="9">
        <f t="shared" si="6"/>
        <v>175</v>
      </c>
      <c r="B182" s="38" t="s">
        <v>206</v>
      </c>
      <c r="C182" s="38" t="s">
        <v>221</v>
      </c>
      <c r="D182" s="43" t="s">
        <v>222</v>
      </c>
      <c r="E182" s="61">
        <v>84.3</v>
      </c>
      <c r="F182" s="68">
        <v>84.3</v>
      </c>
      <c r="G182" s="73">
        <f t="shared" si="5"/>
        <v>100</v>
      </c>
    </row>
    <row r="183" spans="1:7" ht="105">
      <c r="A183" s="9">
        <f t="shared" si="6"/>
        <v>176</v>
      </c>
      <c r="B183" s="38" t="s">
        <v>206</v>
      </c>
      <c r="C183" s="38" t="s">
        <v>376</v>
      </c>
      <c r="D183" s="43" t="s">
        <v>377</v>
      </c>
      <c r="E183" s="61">
        <f>33842.6+8287</f>
        <v>42129.599999999999</v>
      </c>
      <c r="F183" s="68">
        <v>42129.599999999999</v>
      </c>
      <c r="G183" s="73">
        <f t="shared" si="5"/>
        <v>100</v>
      </c>
    </row>
    <row r="184" spans="1:7" ht="90">
      <c r="A184" s="9">
        <f t="shared" si="6"/>
        <v>177</v>
      </c>
      <c r="B184" s="38" t="s">
        <v>206</v>
      </c>
      <c r="C184" s="38" t="s">
        <v>223</v>
      </c>
      <c r="D184" s="43" t="s">
        <v>224</v>
      </c>
      <c r="E184" s="61">
        <f>1300+325</f>
        <v>1625</v>
      </c>
      <c r="F184" s="68">
        <v>1624.7814100000001</v>
      </c>
      <c r="G184" s="73">
        <f t="shared" si="5"/>
        <v>99.986548307692317</v>
      </c>
    </row>
    <row r="185" spans="1:7" ht="285">
      <c r="A185" s="9">
        <f t="shared" si="6"/>
        <v>178</v>
      </c>
      <c r="B185" s="38" t="s">
        <v>206</v>
      </c>
      <c r="C185" s="38" t="s">
        <v>403</v>
      </c>
      <c r="D185" s="44" t="s">
        <v>402</v>
      </c>
      <c r="E185" s="61">
        <v>16238</v>
      </c>
      <c r="F185" s="68">
        <v>16023.45593</v>
      </c>
      <c r="G185" s="73">
        <f t="shared" si="5"/>
        <v>98.678753109988918</v>
      </c>
    </row>
    <row r="186" spans="1:7" ht="195">
      <c r="A186" s="9">
        <f t="shared" si="6"/>
        <v>179</v>
      </c>
      <c r="B186" s="38" t="s">
        <v>206</v>
      </c>
      <c r="C186" s="38" t="s">
        <v>412</v>
      </c>
      <c r="D186" s="44" t="s">
        <v>413</v>
      </c>
      <c r="E186" s="61">
        <v>45345.430050000003</v>
      </c>
      <c r="F186" s="68">
        <v>9756.8827099999999</v>
      </c>
      <c r="G186" s="73">
        <f t="shared" si="5"/>
        <v>21.516793862670621</v>
      </c>
    </row>
    <row r="187" spans="1:7" ht="75">
      <c r="A187" s="9">
        <f t="shared" si="6"/>
        <v>180</v>
      </c>
      <c r="B187" s="38" t="s">
        <v>206</v>
      </c>
      <c r="C187" s="38" t="s">
        <v>225</v>
      </c>
      <c r="D187" s="45" t="s">
        <v>226</v>
      </c>
      <c r="E187" s="61">
        <v>1263.5999999999999</v>
      </c>
      <c r="F187" s="68">
        <v>1263.5999999999999</v>
      </c>
      <c r="G187" s="73">
        <f t="shared" si="5"/>
        <v>100</v>
      </c>
    </row>
    <row r="188" spans="1:7" ht="90">
      <c r="A188" s="9">
        <f t="shared" si="6"/>
        <v>181</v>
      </c>
      <c r="B188" s="38" t="s">
        <v>206</v>
      </c>
      <c r="C188" s="38" t="s">
        <v>406</v>
      </c>
      <c r="D188" s="45" t="s">
        <v>407</v>
      </c>
      <c r="E188" s="61">
        <v>2536.4</v>
      </c>
      <c r="F188" s="68">
        <v>0</v>
      </c>
      <c r="G188" s="73">
        <f t="shared" si="5"/>
        <v>0</v>
      </c>
    </row>
    <row r="189" spans="1:7" ht="75">
      <c r="A189" s="9">
        <f t="shared" si="6"/>
        <v>182</v>
      </c>
      <c r="B189" s="38" t="s">
        <v>206</v>
      </c>
      <c r="C189" s="38" t="s">
        <v>303</v>
      </c>
      <c r="D189" s="45" t="s">
        <v>322</v>
      </c>
      <c r="E189" s="61">
        <v>500</v>
      </c>
      <c r="F189" s="68">
        <v>500</v>
      </c>
      <c r="G189" s="73">
        <f t="shared" si="5"/>
        <v>100</v>
      </c>
    </row>
    <row r="190" spans="1:7" ht="90">
      <c r="A190" s="9">
        <f t="shared" si="6"/>
        <v>183</v>
      </c>
      <c r="B190" s="38" t="s">
        <v>206</v>
      </c>
      <c r="C190" s="38" t="s">
        <v>408</v>
      </c>
      <c r="D190" s="45" t="s">
        <v>409</v>
      </c>
      <c r="E190" s="61">
        <v>1600</v>
      </c>
      <c r="F190" s="68">
        <v>1600</v>
      </c>
      <c r="G190" s="73">
        <f t="shared" si="5"/>
        <v>100</v>
      </c>
    </row>
    <row r="191" spans="1:7" ht="135">
      <c r="A191" s="9">
        <f t="shared" si="6"/>
        <v>184</v>
      </c>
      <c r="B191" s="38" t="s">
        <v>206</v>
      </c>
      <c r="C191" s="38" t="s">
        <v>431</v>
      </c>
      <c r="D191" s="45" t="s">
        <v>432</v>
      </c>
      <c r="E191" s="61">
        <v>748.96019000000001</v>
      </c>
      <c r="F191" s="68">
        <v>748.96019000000001</v>
      </c>
      <c r="G191" s="73">
        <f t="shared" si="5"/>
        <v>100</v>
      </c>
    </row>
    <row r="192" spans="1:7" ht="135">
      <c r="A192" s="9">
        <f t="shared" si="6"/>
        <v>185</v>
      </c>
      <c r="B192" s="38" t="s">
        <v>206</v>
      </c>
      <c r="C192" s="38" t="s">
        <v>374</v>
      </c>
      <c r="D192" s="43" t="s">
        <v>375</v>
      </c>
      <c r="E192" s="61">
        <f>7500-1124.7</f>
        <v>6375.3</v>
      </c>
      <c r="F192" s="68">
        <v>6375.2759999999998</v>
      </c>
      <c r="G192" s="73">
        <f t="shared" si="5"/>
        <v>99.999623547127186</v>
      </c>
    </row>
    <row r="193" spans="1:7" ht="60">
      <c r="A193" s="9">
        <f t="shared" si="6"/>
        <v>186</v>
      </c>
      <c r="B193" s="38" t="s">
        <v>206</v>
      </c>
      <c r="C193" s="38" t="s">
        <v>380</v>
      </c>
      <c r="D193" s="43" t="s">
        <v>381</v>
      </c>
      <c r="E193" s="61">
        <v>30000</v>
      </c>
      <c r="F193" s="68">
        <v>28259.789079999999</v>
      </c>
      <c r="G193" s="73">
        <f t="shared" si="5"/>
        <v>94.199296933333329</v>
      </c>
    </row>
    <row r="194" spans="1:7" ht="63">
      <c r="A194" s="9">
        <f t="shared" si="6"/>
        <v>187</v>
      </c>
      <c r="B194" s="37" t="s">
        <v>49</v>
      </c>
      <c r="C194" s="37" t="s">
        <v>302</v>
      </c>
      <c r="D194" s="46" t="s">
        <v>227</v>
      </c>
      <c r="E194" s="60">
        <f>E195+E213+E215+E217+E219</f>
        <v>505855.67998999998</v>
      </c>
      <c r="F194" s="60">
        <f>F195+F213+F215+F217+F219</f>
        <v>503113.54387000005</v>
      </c>
      <c r="G194" s="74">
        <f t="shared" si="5"/>
        <v>99.457921255316506</v>
      </c>
    </row>
    <row r="195" spans="1:7" ht="60">
      <c r="A195" s="9">
        <f t="shared" si="6"/>
        <v>188</v>
      </c>
      <c r="B195" s="38" t="s">
        <v>49</v>
      </c>
      <c r="C195" s="38" t="s">
        <v>228</v>
      </c>
      <c r="D195" s="45" t="s">
        <v>229</v>
      </c>
      <c r="E195" s="61">
        <f>SUM(E196:E212)</f>
        <v>498513.32519999996</v>
      </c>
      <c r="F195" s="61">
        <f>SUM(F196:F212)</f>
        <v>495771.18908000004</v>
      </c>
      <c r="G195" s="73">
        <f t="shared" si="5"/>
        <v>99.449937247133803</v>
      </c>
    </row>
    <row r="196" spans="1:7" ht="165">
      <c r="A196" s="9">
        <f t="shared" si="6"/>
        <v>189</v>
      </c>
      <c r="B196" s="38" t="s">
        <v>206</v>
      </c>
      <c r="C196" s="38" t="s">
        <v>230</v>
      </c>
      <c r="D196" s="45" t="s">
        <v>231</v>
      </c>
      <c r="E196" s="61">
        <f>757.1+69.1+32.7</f>
        <v>858.90000000000009</v>
      </c>
      <c r="F196" s="68">
        <v>614.5</v>
      </c>
      <c r="G196" s="73">
        <f t="shared" si="5"/>
        <v>71.544999417860041</v>
      </c>
    </row>
    <row r="197" spans="1:7" ht="405">
      <c r="A197" s="9">
        <f t="shared" si="6"/>
        <v>190</v>
      </c>
      <c r="B197" s="38" t="s">
        <v>206</v>
      </c>
      <c r="C197" s="38" t="s">
        <v>232</v>
      </c>
      <c r="D197" s="45" t="s">
        <v>233</v>
      </c>
      <c r="E197" s="61">
        <f>55223.6+1226.42+3237.5+1610.7+1569.3+254.6</f>
        <v>63122.119999999995</v>
      </c>
      <c r="F197" s="68">
        <v>63122.12</v>
      </c>
      <c r="G197" s="73">
        <f t="shared" si="5"/>
        <v>100.00000000000003</v>
      </c>
    </row>
    <row r="198" spans="1:7" ht="409.5">
      <c r="A198" s="9">
        <f t="shared" si="6"/>
        <v>191</v>
      </c>
      <c r="B198" s="38" t="s">
        <v>206</v>
      </c>
      <c r="C198" s="38" t="s">
        <v>234</v>
      </c>
      <c r="D198" s="45" t="s">
        <v>235</v>
      </c>
      <c r="E198" s="61">
        <f>37461+11+3.5-14.5+14.5+1748.77+2125.932+573.3+655.1</f>
        <v>42578.601999999999</v>
      </c>
      <c r="F198" s="68">
        <v>42578.601999999999</v>
      </c>
      <c r="G198" s="73">
        <f t="shared" si="5"/>
        <v>100</v>
      </c>
    </row>
    <row r="199" spans="1:7" ht="180">
      <c r="A199" s="9">
        <f t="shared" si="6"/>
        <v>192</v>
      </c>
      <c r="B199" s="38" t="s">
        <v>206</v>
      </c>
      <c r="C199" s="38" t="s">
        <v>236</v>
      </c>
      <c r="D199" s="45" t="s">
        <v>237</v>
      </c>
      <c r="E199" s="61">
        <f>50.6+4.8+2.3</f>
        <v>57.699999999999996</v>
      </c>
      <c r="F199" s="68">
        <v>57.7</v>
      </c>
      <c r="G199" s="73">
        <f t="shared" si="5"/>
        <v>100.00000000000003</v>
      </c>
    </row>
    <row r="200" spans="1:7" ht="150">
      <c r="A200" s="9">
        <f t="shared" si="6"/>
        <v>193</v>
      </c>
      <c r="B200" s="38" t="s">
        <v>206</v>
      </c>
      <c r="C200" s="38" t="s">
        <v>238</v>
      </c>
      <c r="D200" s="45" t="s">
        <v>239</v>
      </c>
      <c r="E200" s="61">
        <f>737+69.1+32.7</f>
        <v>838.80000000000007</v>
      </c>
      <c r="F200" s="68">
        <v>781</v>
      </c>
      <c r="G200" s="73">
        <f t="shared" si="5"/>
        <v>93.109203624225074</v>
      </c>
    </row>
    <row r="201" spans="1:7" ht="180">
      <c r="A201" s="9">
        <f t="shared" si="6"/>
        <v>194</v>
      </c>
      <c r="B201" s="38" t="s">
        <v>206</v>
      </c>
      <c r="C201" s="38" t="s">
        <v>240</v>
      </c>
      <c r="D201" s="45" t="s">
        <v>241</v>
      </c>
      <c r="E201" s="61">
        <f>756.7+6.9+3.268+181.1</f>
        <v>947.96800000000007</v>
      </c>
      <c r="F201" s="68">
        <v>910.07466999999997</v>
      </c>
      <c r="G201" s="73">
        <f t="shared" ref="G201:G250" si="7">F201/E201*100</f>
        <v>96.002678360450972</v>
      </c>
    </row>
    <row r="202" spans="1:7" ht="180">
      <c r="A202" s="9">
        <f t="shared" ref="A202:A250" si="8">A201+1</f>
        <v>195</v>
      </c>
      <c r="B202" s="38" t="s">
        <v>206</v>
      </c>
      <c r="C202" s="38" t="s">
        <v>242</v>
      </c>
      <c r="D202" s="45" t="s">
        <v>243</v>
      </c>
      <c r="E202" s="61">
        <f>137.6+11.2-0.009+5.29</f>
        <v>154.08099999999999</v>
      </c>
      <c r="F202" s="68">
        <v>154.08099999999999</v>
      </c>
      <c r="G202" s="73">
        <f t="shared" si="7"/>
        <v>100</v>
      </c>
    </row>
    <row r="203" spans="1:7" ht="165">
      <c r="A203" s="9">
        <f t="shared" si="8"/>
        <v>196</v>
      </c>
      <c r="B203" s="38" t="s">
        <v>206</v>
      </c>
      <c r="C203" s="38" t="s">
        <v>244</v>
      </c>
      <c r="D203" s="45" t="s">
        <v>245</v>
      </c>
      <c r="E203" s="61">
        <f>2521.4+207.2+98.03</f>
        <v>2826.63</v>
      </c>
      <c r="F203" s="68">
        <v>2435.6746199999998</v>
      </c>
      <c r="G203" s="73">
        <f t="shared" si="7"/>
        <v>86.168851954447518</v>
      </c>
    </row>
    <row r="204" spans="1:7" ht="285">
      <c r="A204" s="9">
        <f t="shared" si="8"/>
        <v>197</v>
      </c>
      <c r="B204" s="38" t="s">
        <v>206</v>
      </c>
      <c r="C204" s="38" t="s">
        <v>246</v>
      </c>
      <c r="D204" s="45" t="s">
        <v>247</v>
      </c>
      <c r="E204" s="61">
        <f>725.8-311.64</f>
        <v>414.15999999999997</v>
      </c>
      <c r="F204" s="68">
        <v>414.1515</v>
      </c>
      <c r="G204" s="73">
        <f t="shared" si="7"/>
        <v>99.997947653080942</v>
      </c>
    </row>
    <row r="205" spans="1:7" ht="409.5">
      <c r="A205" s="9">
        <f t="shared" si="8"/>
        <v>198</v>
      </c>
      <c r="B205" s="38" t="s">
        <v>206</v>
      </c>
      <c r="C205" s="38" t="s">
        <v>248</v>
      </c>
      <c r="D205" s="45" t="s">
        <v>249</v>
      </c>
      <c r="E205" s="61">
        <f>151040+6304.6+12392.412+3659.255+7909.37105+1440.79398+1310.28+5866.869+3074.68+910.04</f>
        <v>193908.30103</v>
      </c>
      <c r="F205" s="68">
        <v>193908.30103</v>
      </c>
      <c r="G205" s="73">
        <f t="shared" si="7"/>
        <v>100</v>
      </c>
    </row>
    <row r="206" spans="1:7" ht="195">
      <c r="A206" s="9">
        <f t="shared" si="8"/>
        <v>199</v>
      </c>
      <c r="B206" s="38" t="s">
        <v>206</v>
      </c>
      <c r="C206" s="38" t="s">
        <v>250</v>
      </c>
      <c r="D206" s="45" t="s">
        <v>251</v>
      </c>
      <c r="E206" s="61">
        <f>12829.3-1165</f>
        <v>11664.3</v>
      </c>
      <c r="F206" s="68">
        <v>11664.3</v>
      </c>
      <c r="G206" s="73">
        <f t="shared" si="7"/>
        <v>100</v>
      </c>
    </row>
    <row r="207" spans="1:7" ht="135">
      <c r="A207" s="9">
        <f t="shared" si="8"/>
        <v>200</v>
      </c>
      <c r="B207" s="38" t="s">
        <v>206</v>
      </c>
      <c r="C207" s="38" t="s">
        <v>252</v>
      </c>
      <c r="D207" s="45" t="s">
        <v>253</v>
      </c>
      <c r="E207" s="61">
        <f>21156.5-7900.7</f>
        <v>13255.8</v>
      </c>
      <c r="F207" s="68">
        <v>11978.155000000001</v>
      </c>
      <c r="G207" s="73">
        <f t="shared" si="7"/>
        <v>90.361615292928391</v>
      </c>
    </row>
    <row r="208" spans="1:7" ht="270">
      <c r="A208" s="9">
        <f t="shared" si="8"/>
        <v>201</v>
      </c>
      <c r="B208" s="38" t="s">
        <v>206</v>
      </c>
      <c r="C208" s="38" t="s">
        <v>254</v>
      </c>
      <c r="D208" s="45" t="s">
        <v>255</v>
      </c>
      <c r="E208" s="61">
        <f>24014.3-12007.15+6733.89684+5781.253-5273.25316+1686.61633+0.00016+21.1</f>
        <v>20956.763169999998</v>
      </c>
      <c r="F208" s="68">
        <v>20223.532070000001</v>
      </c>
      <c r="G208" s="73">
        <f t="shared" si="7"/>
        <v>96.501219706249145</v>
      </c>
    </row>
    <row r="209" spans="1:7" ht="405">
      <c r="A209" s="9">
        <f t="shared" si="8"/>
        <v>202</v>
      </c>
      <c r="B209" s="38" t="s">
        <v>206</v>
      </c>
      <c r="C209" s="38" t="s">
        <v>256</v>
      </c>
      <c r="D209" s="45" t="s">
        <v>257</v>
      </c>
      <c r="E209" s="61">
        <f>118192.6+2374.2+2782.7+5085.4+4535.1+4896.3</f>
        <v>137866.29999999999</v>
      </c>
      <c r="F209" s="68">
        <v>137866.29999999999</v>
      </c>
      <c r="G209" s="73">
        <f t="shared" si="7"/>
        <v>100</v>
      </c>
    </row>
    <row r="210" spans="1:7" ht="180">
      <c r="A210" s="9">
        <f t="shared" si="8"/>
        <v>203</v>
      </c>
      <c r="B210" s="38" t="s">
        <v>206</v>
      </c>
      <c r="C210" s="38" t="s">
        <v>258</v>
      </c>
      <c r="D210" s="45" t="s">
        <v>259</v>
      </c>
      <c r="E210" s="61">
        <f>752.1+69.1+32.7</f>
        <v>853.90000000000009</v>
      </c>
      <c r="F210" s="68">
        <v>853.9</v>
      </c>
      <c r="G210" s="73">
        <f t="shared" si="7"/>
        <v>99.999999999999986</v>
      </c>
    </row>
    <row r="211" spans="1:7" ht="150">
      <c r="A211" s="9">
        <f t="shared" si="8"/>
        <v>204</v>
      </c>
      <c r="B211" s="38" t="s">
        <v>206</v>
      </c>
      <c r="C211" s="38" t="s">
        <v>260</v>
      </c>
      <c r="D211" s="45" t="s">
        <v>261</v>
      </c>
      <c r="E211" s="61">
        <f>7391.5+1108.7+311.2-754</f>
        <v>8057.4000000000015</v>
      </c>
      <c r="F211" s="68">
        <v>8057.1971899999999</v>
      </c>
      <c r="G211" s="73">
        <f t="shared" si="7"/>
        <v>99.997482934941772</v>
      </c>
    </row>
    <row r="212" spans="1:7" ht="240">
      <c r="A212" s="9">
        <f t="shared" si="8"/>
        <v>205</v>
      </c>
      <c r="B212" s="38" t="s">
        <v>206</v>
      </c>
      <c r="C212" s="38" t="s">
        <v>262</v>
      </c>
      <c r="D212" s="45" t="s">
        <v>263</v>
      </c>
      <c r="E212" s="61">
        <f>132.6+12.9+6.1</f>
        <v>151.6</v>
      </c>
      <c r="F212" s="68">
        <v>151.6</v>
      </c>
      <c r="G212" s="73">
        <f t="shared" si="7"/>
        <v>100</v>
      </c>
    </row>
    <row r="213" spans="1:7" ht="135">
      <c r="A213" s="9">
        <f t="shared" si="8"/>
        <v>206</v>
      </c>
      <c r="B213" s="38" t="s">
        <v>49</v>
      </c>
      <c r="C213" s="38" t="s">
        <v>264</v>
      </c>
      <c r="D213" s="45" t="s">
        <v>265</v>
      </c>
      <c r="E213" s="61">
        <f>E214</f>
        <v>1920.6999999999998</v>
      </c>
      <c r="F213" s="61">
        <f>F214</f>
        <v>1920.7</v>
      </c>
      <c r="G213" s="73">
        <f t="shared" si="7"/>
        <v>100.00000000000003</v>
      </c>
    </row>
    <row r="214" spans="1:7" ht="135">
      <c r="A214" s="9">
        <f t="shared" si="8"/>
        <v>207</v>
      </c>
      <c r="B214" s="38" t="s">
        <v>206</v>
      </c>
      <c r="C214" s="38" t="s">
        <v>266</v>
      </c>
      <c r="D214" s="43" t="s">
        <v>267</v>
      </c>
      <c r="E214" s="61">
        <f>3336.7-1046-370</f>
        <v>1920.6999999999998</v>
      </c>
      <c r="F214" s="68">
        <v>1920.7</v>
      </c>
      <c r="G214" s="73">
        <f t="shared" si="7"/>
        <v>100.00000000000003</v>
      </c>
    </row>
    <row r="215" spans="1:7" ht="135">
      <c r="A215" s="9">
        <f t="shared" si="8"/>
        <v>208</v>
      </c>
      <c r="B215" s="38" t="s">
        <v>49</v>
      </c>
      <c r="C215" s="38" t="s">
        <v>306</v>
      </c>
      <c r="D215" s="43" t="s">
        <v>307</v>
      </c>
      <c r="E215" s="61">
        <f>E216</f>
        <v>1295.7649899999992</v>
      </c>
      <c r="F215" s="61">
        <f>F216</f>
        <v>1295.7649899999999</v>
      </c>
      <c r="G215" s="73">
        <f t="shared" si="7"/>
        <v>100.00000000000004</v>
      </c>
    </row>
    <row r="216" spans="1:7" ht="120">
      <c r="A216" s="9">
        <f t="shared" si="8"/>
        <v>209</v>
      </c>
      <c r="B216" s="38" t="s">
        <v>206</v>
      </c>
      <c r="C216" s="38" t="s">
        <v>305</v>
      </c>
      <c r="D216" s="43" t="s">
        <v>304</v>
      </c>
      <c r="E216" s="61">
        <f>12007.15-6733.89684-3977.48817</f>
        <v>1295.7649899999992</v>
      </c>
      <c r="F216" s="68">
        <v>1295.7649899999999</v>
      </c>
      <c r="G216" s="73">
        <f t="shared" si="7"/>
        <v>100.00000000000004</v>
      </c>
    </row>
    <row r="217" spans="1:7" ht="90">
      <c r="A217" s="9">
        <f t="shared" si="8"/>
        <v>210</v>
      </c>
      <c r="B217" s="38" t="s">
        <v>49</v>
      </c>
      <c r="C217" s="38" t="s">
        <v>268</v>
      </c>
      <c r="D217" s="43" t="s">
        <v>269</v>
      </c>
      <c r="E217" s="61">
        <f>E218</f>
        <v>4031.1898000000001</v>
      </c>
      <c r="F217" s="61">
        <f>F218</f>
        <v>4031.1898000000001</v>
      </c>
      <c r="G217" s="73">
        <f t="shared" si="7"/>
        <v>100</v>
      </c>
    </row>
    <row r="218" spans="1:7" ht="90">
      <c r="A218" s="9">
        <f t="shared" si="8"/>
        <v>211</v>
      </c>
      <c r="B218" s="38" t="s">
        <v>206</v>
      </c>
      <c r="C218" s="38" t="s">
        <v>270</v>
      </c>
      <c r="D218" s="43" t="s">
        <v>271</v>
      </c>
      <c r="E218" s="61">
        <f>3791+240.1898</f>
        <v>4031.1898000000001</v>
      </c>
      <c r="F218" s="68">
        <v>4031.1898000000001</v>
      </c>
      <c r="G218" s="73">
        <f t="shared" si="7"/>
        <v>100</v>
      </c>
    </row>
    <row r="219" spans="1:7" ht="105">
      <c r="A219" s="9">
        <f t="shared" si="8"/>
        <v>212</v>
      </c>
      <c r="B219" s="38" t="s">
        <v>49</v>
      </c>
      <c r="C219" s="38" t="s">
        <v>272</v>
      </c>
      <c r="D219" s="43" t="s">
        <v>273</v>
      </c>
      <c r="E219" s="61">
        <f>E220</f>
        <v>94.7</v>
      </c>
      <c r="F219" s="61">
        <f>F220</f>
        <v>94.7</v>
      </c>
      <c r="G219" s="73">
        <f t="shared" si="7"/>
        <v>100</v>
      </c>
    </row>
    <row r="220" spans="1:7" ht="120">
      <c r="A220" s="9">
        <f t="shared" si="8"/>
        <v>213</v>
      </c>
      <c r="B220" s="38" t="s">
        <v>206</v>
      </c>
      <c r="C220" s="38" t="s">
        <v>274</v>
      </c>
      <c r="D220" s="43" t="s">
        <v>275</v>
      </c>
      <c r="E220" s="61">
        <v>94.7</v>
      </c>
      <c r="F220" s="68">
        <v>94.7</v>
      </c>
      <c r="G220" s="73">
        <f t="shared" si="7"/>
        <v>100</v>
      </c>
    </row>
    <row r="221" spans="1:7" ht="31.5">
      <c r="A221" s="9">
        <f t="shared" si="8"/>
        <v>214</v>
      </c>
      <c r="B221" s="37" t="s">
        <v>49</v>
      </c>
      <c r="C221" s="37" t="s">
        <v>296</v>
      </c>
      <c r="D221" s="47" t="s">
        <v>295</v>
      </c>
      <c r="E221" s="60">
        <f>E222+E224+E226+E228</f>
        <v>132679.13372000001</v>
      </c>
      <c r="F221" s="60">
        <f>F222+F224+F226+F228</f>
        <v>132501.09226</v>
      </c>
      <c r="G221" s="74">
        <f t="shared" si="7"/>
        <v>99.865810504630119</v>
      </c>
    </row>
    <row r="222" spans="1:7" ht="135">
      <c r="A222" s="9">
        <f t="shared" si="8"/>
        <v>215</v>
      </c>
      <c r="B222" s="48" t="s">
        <v>49</v>
      </c>
      <c r="C222" s="49" t="s">
        <v>316</v>
      </c>
      <c r="D222" s="50" t="s">
        <v>317</v>
      </c>
      <c r="E222" s="61">
        <f>E223</f>
        <v>15707.23372</v>
      </c>
      <c r="F222" s="61">
        <f>F223</f>
        <v>15707.14372</v>
      </c>
      <c r="G222" s="73">
        <f t="shared" si="7"/>
        <v>99.999427015592914</v>
      </c>
    </row>
    <row r="223" spans="1:7" ht="110.45" customHeight="1">
      <c r="A223" s="9">
        <f t="shared" si="8"/>
        <v>216</v>
      </c>
      <c r="B223" s="48" t="s">
        <v>206</v>
      </c>
      <c r="C223" s="49" t="s">
        <v>314</v>
      </c>
      <c r="D223" s="50" t="s">
        <v>315</v>
      </c>
      <c r="E223" s="61">
        <v>15707.23372</v>
      </c>
      <c r="F223" s="68">
        <v>15707.14372</v>
      </c>
      <c r="G223" s="73">
        <f t="shared" si="7"/>
        <v>99.999427015592914</v>
      </c>
    </row>
    <row r="224" spans="1:7" ht="120">
      <c r="A224" s="9">
        <f t="shared" si="8"/>
        <v>217</v>
      </c>
      <c r="B224" s="48" t="s">
        <v>49</v>
      </c>
      <c r="C224" s="49" t="s">
        <v>297</v>
      </c>
      <c r="D224" s="43" t="s">
        <v>298</v>
      </c>
      <c r="E224" s="61">
        <f>E225</f>
        <v>76800</v>
      </c>
      <c r="F224" s="61">
        <f>F225</f>
        <v>76800</v>
      </c>
      <c r="G224" s="73">
        <f t="shared" si="7"/>
        <v>100</v>
      </c>
    </row>
    <row r="225" spans="1:7" ht="135">
      <c r="A225" s="9">
        <f t="shared" si="8"/>
        <v>218</v>
      </c>
      <c r="B225" s="48" t="s">
        <v>206</v>
      </c>
      <c r="C225" s="49" t="s">
        <v>299</v>
      </c>
      <c r="D225" s="43" t="s">
        <v>300</v>
      </c>
      <c r="E225" s="61">
        <f>70000+6800</f>
        <v>76800</v>
      </c>
      <c r="F225" s="68">
        <v>76800</v>
      </c>
      <c r="G225" s="73">
        <f t="shared" si="7"/>
        <v>100</v>
      </c>
    </row>
    <row r="226" spans="1:7" ht="60">
      <c r="A226" s="9">
        <f t="shared" si="8"/>
        <v>219</v>
      </c>
      <c r="B226" s="48" t="s">
        <v>49</v>
      </c>
      <c r="C226" s="49" t="s">
        <v>319</v>
      </c>
      <c r="D226" s="43" t="s">
        <v>308</v>
      </c>
      <c r="E226" s="61">
        <f>E227</f>
        <v>1000</v>
      </c>
      <c r="F226" s="61">
        <f>F227</f>
        <v>1000</v>
      </c>
      <c r="G226" s="73">
        <f t="shared" si="7"/>
        <v>100</v>
      </c>
    </row>
    <row r="227" spans="1:7" ht="60">
      <c r="A227" s="9">
        <f t="shared" si="8"/>
        <v>220</v>
      </c>
      <c r="B227" s="48" t="s">
        <v>206</v>
      </c>
      <c r="C227" s="49" t="s">
        <v>318</v>
      </c>
      <c r="D227" s="43" t="s">
        <v>309</v>
      </c>
      <c r="E227" s="61">
        <v>1000</v>
      </c>
      <c r="F227" s="68">
        <v>1000</v>
      </c>
      <c r="G227" s="73">
        <f t="shared" si="7"/>
        <v>100</v>
      </c>
    </row>
    <row r="228" spans="1:7" ht="34.15" customHeight="1">
      <c r="A228" s="9">
        <f t="shared" si="8"/>
        <v>221</v>
      </c>
      <c r="B228" s="48" t="s">
        <v>49</v>
      </c>
      <c r="C228" s="49" t="s">
        <v>325</v>
      </c>
      <c r="D228" s="50" t="s">
        <v>323</v>
      </c>
      <c r="E228" s="61">
        <f>E229</f>
        <v>39171.9</v>
      </c>
      <c r="F228" s="61">
        <f>F229</f>
        <v>38993.948539999998</v>
      </c>
      <c r="G228" s="73">
        <f t="shared" si="7"/>
        <v>99.54571654681034</v>
      </c>
    </row>
    <row r="229" spans="1:7" ht="45">
      <c r="A229" s="9">
        <f t="shared" si="8"/>
        <v>222</v>
      </c>
      <c r="B229" s="48" t="s">
        <v>49</v>
      </c>
      <c r="C229" s="49" t="s">
        <v>326</v>
      </c>
      <c r="D229" s="50" t="s">
        <v>324</v>
      </c>
      <c r="E229" s="61">
        <f>SUM(E230:E238)</f>
        <v>39171.9</v>
      </c>
      <c r="F229" s="61">
        <f>SUM(F230:F238)</f>
        <v>38993.948539999998</v>
      </c>
      <c r="G229" s="73">
        <f t="shared" si="7"/>
        <v>99.54571654681034</v>
      </c>
    </row>
    <row r="230" spans="1:7" ht="165">
      <c r="A230" s="9">
        <f t="shared" si="8"/>
        <v>223</v>
      </c>
      <c r="B230" s="51">
        <v>991</v>
      </c>
      <c r="C230" s="38" t="s">
        <v>453</v>
      </c>
      <c r="D230" s="50" t="s">
        <v>454</v>
      </c>
      <c r="E230" s="61">
        <v>315.8</v>
      </c>
      <c r="F230" s="68">
        <v>137.84854000000001</v>
      </c>
      <c r="G230" s="73">
        <f t="shared" si="7"/>
        <v>43.650582647245095</v>
      </c>
    </row>
    <row r="231" spans="1:7" ht="135">
      <c r="A231" s="9">
        <f t="shared" si="8"/>
        <v>224</v>
      </c>
      <c r="B231" s="51">
        <v>991</v>
      </c>
      <c r="C231" s="38" t="s">
        <v>445</v>
      </c>
      <c r="D231" s="43" t="s">
        <v>446</v>
      </c>
      <c r="E231" s="61">
        <v>8793</v>
      </c>
      <c r="F231" s="68">
        <v>8793</v>
      </c>
      <c r="G231" s="73">
        <f t="shared" si="7"/>
        <v>100</v>
      </c>
    </row>
    <row r="232" spans="1:7" ht="75">
      <c r="A232" s="9">
        <f t="shared" si="8"/>
        <v>225</v>
      </c>
      <c r="B232" s="48" t="s">
        <v>206</v>
      </c>
      <c r="C232" s="49" t="s">
        <v>332</v>
      </c>
      <c r="D232" s="43" t="s">
        <v>327</v>
      </c>
      <c r="E232" s="61">
        <v>315.2</v>
      </c>
      <c r="F232" s="68">
        <v>315.2</v>
      </c>
      <c r="G232" s="73">
        <f t="shared" si="7"/>
        <v>100</v>
      </c>
    </row>
    <row r="233" spans="1:7" ht="90">
      <c r="A233" s="9">
        <f t="shared" si="8"/>
        <v>226</v>
      </c>
      <c r="B233" s="48" t="s">
        <v>206</v>
      </c>
      <c r="C233" s="49" t="s">
        <v>342</v>
      </c>
      <c r="D233" s="43" t="s">
        <v>343</v>
      </c>
      <c r="E233" s="61">
        <f>411.9+961.1</f>
        <v>1373</v>
      </c>
      <c r="F233" s="68">
        <v>1373</v>
      </c>
      <c r="G233" s="73">
        <f t="shared" si="7"/>
        <v>100</v>
      </c>
    </row>
    <row r="234" spans="1:7" ht="105">
      <c r="A234" s="9">
        <f t="shared" si="8"/>
        <v>227</v>
      </c>
      <c r="B234" s="48" t="s">
        <v>206</v>
      </c>
      <c r="C234" s="49" t="s">
        <v>350</v>
      </c>
      <c r="D234" s="43" t="s">
        <v>351</v>
      </c>
      <c r="E234" s="61">
        <f>15000+217.8</f>
        <v>15217.8</v>
      </c>
      <c r="F234" s="68">
        <v>15217.8</v>
      </c>
      <c r="G234" s="73">
        <f t="shared" si="7"/>
        <v>100</v>
      </c>
    </row>
    <row r="235" spans="1:7" ht="120">
      <c r="A235" s="9">
        <f t="shared" si="8"/>
        <v>228</v>
      </c>
      <c r="B235" s="48" t="s">
        <v>206</v>
      </c>
      <c r="C235" s="49" t="s">
        <v>398</v>
      </c>
      <c r="D235" s="43" t="s">
        <v>399</v>
      </c>
      <c r="E235" s="61">
        <v>3653.9</v>
      </c>
      <c r="F235" s="68">
        <v>3653.9</v>
      </c>
      <c r="G235" s="73">
        <f t="shared" si="7"/>
        <v>100</v>
      </c>
    </row>
    <row r="236" spans="1:7" ht="120">
      <c r="A236" s="9">
        <f t="shared" si="8"/>
        <v>229</v>
      </c>
      <c r="B236" s="48" t="s">
        <v>206</v>
      </c>
      <c r="C236" s="49" t="s">
        <v>368</v>
      </c>
      <c r="D236" s="43" t="s">
        <v>369</v>
      </c>
      <c r="E236" s="61">
        <v>414.4</v>
      </c>
      <c r="F236" s="68">
        <v>414.4</v>
      </c>
      <c r="G236" s="73">
        <f t="shared" si="7"/>
        <v>100</v>
      </c>
    </row>
    <row r="237" spans="1:7" ht="75">
      <c r="A237" s="9">
        <f t="shared" si="8"/>
        <v>230</v>
      </c>
      <c r="B237" s="48" t="s">
        <v>206</v>
      </c>
      <c r="C237" s="49" t="s">
        <v>415</v>
      </c>
      <c r="D237" s="43" t="s">
        <v>414</v>
      </c>
      <c r="E237" s="61">
        <v>1088.8</v>
      </c>
      <c r="F237" s="68">
        <v>1088.8</v>
      </c>
      <c r="G237" s="73">
        <f t="shared" si="7"/>
        <v>100</v>
      </c>
    </row>
    <row r="238" spans="1:7" ht="90">
      <c r="A238" s="9">
        <f t="shared" si="8"/>
        <v>231</v>
      </c>
      <c r="B238" s="48" t="s">
        <v>206</v>
      </c>
      <c r="C238" s="49" t="s">
        <v>349</v>
      </c>
      <c r="D238" s="43" t="s">
        <v>344</v>
      </c>
      <c r="E238" s="61">
        <v>8000</v>
      </c>
      <c r="F238" s="68">
        <v>8000</v>
      </c>
      <c r="G238" s="73">
        <f t="shared" si="7"/>
        <v>100</v>
      </c>
    </row>
    <row r="239" spans="1:7" ht="31.5">
      <c r="A239" s="9">
        <f t="shared" si="8"/>
        <v>232</v>
      </c>
      <c r="B239" s="14" t="s">
        <v>49</v>
      </c>
      <c r="C239" s="12" t="s">
        <v>184</v>
      </c>
      <c r="D239" s="13" t="s">
        <v>42</v>
      </c>
      <c r="E239" s="62">
        <f>E240</f>
        <v>800</v>
      </c>
      <c r="F239" s="62">
        <f>F240</f>
        <v>754.61950000000002</v>
      </c>
      <c r="G239" s="74">
        <f t="shared" si="7"/>
        <v>94.327437500000002</v>
      </c>
    </row>
    <row r="240" spans="1:7" ht="45">
      <c r="A240" s="9">
        <f t="shared" si="8"/>
        <v>233</v>
      </c>
      <c r="B240" s="14" t="s">
        <v>49</v>
      </c>
      <c r="C240" s="14" t="s">
        <v>186</v>
      </c>
      <c r="D240" s="15" t="s">
        <v>43</v>
      </c>
      <c r="E240" s="63">
        <f>SUM(E241:E241)</f>
        <v>800</v>
      </c>
      <c r="F240" s="63">
        <f>SUM(F241:F241)</f>
        <v>754.61950000000002</v>
      </c>
      <c r="G240" s="73">
        <f t="shared" si="7"/>
        <v>94.327437500000002</v>
      </c>
    </row>
    <row r="241" spans="1:7" ht="45">
      <c r="A241" s="9">
        <f t="shared" si="8"/>
        <v>234</v>
      </c>
      <c r="B241" s="14" t="s">
        <v>358</v>
      </c>
      <c r="C241" s="14" t="s">
        <v>185</v>
      </c>
      <c r="D241" s="15" t="s">
        <v>43</v>
      </c>
      <c r="E241" s="63">
        <f>800</f>
        <v>800</v>
      </c>
      <c r="F241" s="68">
        <v>754.61950000000002</v>
      </c>
      <c r="G241" s="73">
        <f t="shared" si="7"/>
        <v>94.327437500000002</v>
      </c>
    </row>
    <row r="242" spans="1:7" ht="141.75">
      <c r="A242" s="9">
        <f t="shared" si="8"/>
        <v>235</v>
      </c>
      <c r="B242" s="14" t="s">
        <v>49</v>
      </c>
      <c r="C242" s="52" t="s">
        <v>420</v>
      </c>
      <c r="D242" s="53" t="s">
        <v>416</v>
      </c>
      <c r="E242" s="62">
        <f t="shared" ref="E242:F245" si="9">E243</f>
        <v>4.0386800000000003</v>
      </c>
      <c r="F242" s="62">
        <f t="shared" si="9"/>
        <v>4.0386800000000003</v>
      </c>
      <c r="G242" s="74">
        <f t="shared" si="7"/>
        <v>100</v>
      </c>
    </row>
    <row r="243" spans="1:7" ht="135">
      <c r="A243" s="9">
        <f t="shared" si="8"/>
        <v>236</v>
      </c>
      <c r="B243" s="14" t="s">
        <v>49</v>
      </c>
      <c r="C243" s="65" t="s">
        <v>421</v>
      </c>
      <c r="D243" s="27" t="s">
        <v>419</v>
      </c>
      <c r="E243" s="63">
        <f t="shared" si="9"/>
        <v>4.0386800000000003</v>
      </c>
      <c r="F243" s="63">
        <f t="shared" si="9"/>
        <v>4.0386800000000003</v>
      </c>
      <c r="G243" s="73">
        <f t="shared" si="7"/>
        <v>100</v>
      </c>
    </row>
    <row r="244" spans="1:7" ht="60">
      <c r="A244" s="9">
        <f t="shared" si="8"/>
        <v>237</v>
      </c>
      <c r="B244" s="14" t="s">
        <v>49</v>
      </c>
      <c r="C244" s="65" t="s">
        <v>422</v>
      </c>
      <c r="D244" s="66" t="s">
        <v>417</v>
      </c>
      <c r="E244" s="63">
        <f t="shared" si="9"/>
        <v>4.0386800000000003</v>
      </c>
      <c r="F244" s="63">
        <f t="shared" si="9"/>
        <v>4.0386800000000003</v>
      </c>
      <c r="G244" s="73">
        <f t="shared" si="7"/>
        <v>100</v>
      </c>
    </row>
    <row r="245" spans="1:7" ht="60">
      <c r="A245" s="9">
        <f t="shared" si="8"/>
        <v>238</v>
      </c>
      <c r="B245" s="14" t="s">
        <v>49</v>
      </c>
      <c r="C245" s="65" t="s">
        <v>423</v>
      </c>
      <c r="D245" s="66" t="s">
        <v>418</v>
      </c>
      <c r="E245" s="63">
        <f t="shared" si="9"/>
        <v>4.0386800000000003</v>
      </c>
      <c r="F245" s="63">
        <f t="shared" si="9"/>
        <v>4.0386800000000003</v>
      </c>
      <c r="G245" s="73">
        <f t="shared" si="7"/>
        <v>100</v>
      </c>
    </row>
    <row r="246" spans="1:7" ht="60">
      <c r="A246" s="9">
        <f t="shared" si="8"/>
        <v>239</v>
      </c>
      <c r="B246" s="14" t="s">
        <v>424</v>
      </c>
      <c r="C246" s="54" t="s">
        <v>423</v>
      </c>
      <c r="D246" s="55" t="s">
        <v>418</v>
      </c>
      <c r="E246" s="63">
        <v>4.0386800000000003</v>
      </c>
      <c r="F246" s="63">
        <v>4.0386800000000003</v>
      </c>
      <c r="G246" s="73">
        <f t="shared" si="7"/>
        <v>100</v>
      </c>
    </row>
    <row r="247" spans="1:7" ht="78.75">
      <c r="A247" s="9">
        <f t="shared" si="8"/>
        <v>240</v>
      </c>
      <c r="B247" s="14" t="s">
        <v>49</v>
      </c>
      <c r="C247" s="14" t="s">
        <v>340</v>
      </c>
      <c r="D247" s="56" t="s">
        <v>334</v>
      </c>
      <c r="E247" s="62">
        <f>E248</f>
        <v>-6601.0330999999987</v>
      </c>
      <c r="F247" s="62">
        <f>F248</f>
        <v>-6601.0330999999996</v>
      </c>
      <c r="G247" s="74">
        <f t="shared" si="7"/>
        <v>100.00000000000003</v>
      </c>
    </row>
    <row r="248" spans="1:7" ht="75">
      <c r="A248" s="9">
        <f t="shared" si="8"/>
        <v>241</v>
      </c>
      <c r="B248" s="14" t="s">
        <v>49</v>
      </c>
      <c r="C248" s="14" t="s">
        <v>341</v>
      </c>
      <c r="D248" s="57" t="s">
        <v>339</v>
      </c>
      <c r="E248" s="63">
        <f>E249</f>
        <v>-6601.0330999999987</v>
      </c>
      <c r="F248" s="63">
        <f>F249</f>
        <v>-6601.0330999999996</v>
      </c>
      <c r="G248" s="73">
        <f t="shared" si="7"/>
        <v>100.00000000000003</v>
      </c>
    </row>
    <row r="249" spans="1:7" ht="75">
      <c r="A249" s="9">
        <f t="shared" si="8"/>
        <v>242</v>
      </c>
      <c r="B249" s="14" t="s">
        <v>206</v>
      </c>
      <c r="C249" s="14" t="s">
        <v>341</v>
      </c>
      <c r="D249" s="57" t="s">
        <v>339</v>
      </c>
      <c r="E249" s="63">
        <f>-11271.93342+4675-0.061-4.03868</f>
        <v>-6601.0330999999987</v>
      </c>
      <c r="F249" s="63">
        <v>-6601.0330999999996</v>
      </c>
      <c r="G249" s="73">
        <f t="shared" si="7"/>
        <v>100.00000000000003</v>
      </c>
    </row>
    <row r="250" spans="1:7" ht="15.75">
      <c r="A250" s="9">
        <f t="shared" si="8"/>
        <v>243</v>
      </c>
      <c r="B250" s="81" t="s">
        <v>48</v>
      </c>
      <c r="C250" s="81"/>
      <c r="D250" s="81"/>
      <c r="E250" s="64">
        <f>E148+E8</f>
        <v>2046207.2281299997</v>
      </c>
      <c r="F250" s="64">
        <f>F148+F8</f>
        <v>1850811.6588400004</v>
      </c>
      <c r="G250" s="74">
        <f t="shared" si="7"/>
        <v>90.450841605687785</v>
      </c>
    </row>
    <row r="253" spans="1:7">
      <c r="E253" s="8"/>
    </row>
    <row r="255" spans="1:7">
      <c r="E255" s="7"/>
    </row>
  </sheetData>
  <mergeCells count="10">
    <mergeCell ref="F5:F6"/>
    <mergeCell ref="G5:G6"/>
    <mergeCell ref="B1:G1"/>
    <mergeCell ref="B250:D250"/>
    <mergeCell ref="B3:G3"/>
    <mergeCell ref="A5:A6"/>
    <mergeCell ref="B5:B6"/>
    <mergeCell ref="C5:C6"/>
    <mergeCell ref="D5:D6"/>
    <mergeCell ref="E5:E6"/>
  </mergeCells>
  <pageMargins left="0.31496062992125984" right="0.19685039370078741" top="0.15748031496062992" bottom="0.19685039370078741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Ольга И. Степаненко</cp:lastModifiedBy>
  <cp:lastPrinted>2023-02-15T04:28:51Z</cp:lastPrinted>
  <dcterms:created xsi:type="dcterms:W3CDTF">2021-11-01T09:50:52Z</dcterms:created>
  <dcterms:modified xsi:type="dcterms:W3CDTF">2023-05-24T05:13:42Z</dcterms:modified>
</cp:coreProperties>
</file>